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980" yWindow="60" windowWidth="13710" windowHeight="11655" tabRatio="698" activeTab="4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<sst xmlns="http://schemas.openxmlformats.org/spreadsheetml/2006/main" count="520" uniqueCount="60">
  <si>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</si>
  <si>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</si>
  <si>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</si>
  <si>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</si>
  <si>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</si>
  <si>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</si>
  <si>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</si>
  <si>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</si>
  <si>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</si>
  <si>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</si>
  <si>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</si>
  <si>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</si>
  <si>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</si>
  <si>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</si>
  <si>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</si>
  <si>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</si>
  <si>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</si>
  <si>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</si>
  <si>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</si>
  <si>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</si>
  <si>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</si>
  <si>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</si>
  <si>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</si>
  <si>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</si>
  <si>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</si>
  <si>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</si>
  <si>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</si>
  <si>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</si>
  <si>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</si>
  <si>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</si>
  <si>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</si>
  <si>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</si>
  <si>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</si>
  <si>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</si>
  <si>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</si>
  <si>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</si>
  <si>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</si>
  <si>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</si>
  <si>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</si>
  <si>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</si>
  <si>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</si>
  <si>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</si>
  <si>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</si>
  <si>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</si>
  <si>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</si>
  <si>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</si>
  <si>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</si>
  <si>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</si>
  <si>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</si>
  <si>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</si>
  <si>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</si>
  <si>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</si>
  <si>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</si>
  <si>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</si>
  <si>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</si>
  <si>
    <t>по міському бюджету м.Черкаси у БЕРЕЗНІ 2019 р.</t>
  </si>
  <si>
    <t>надійшло доходів/план видатків
 на березень</t>
  </si>
  <si>
    <t>надійшло доходів/план видатків
 на квітень</t>
  </si>
  <si>
    <t>Субвенція обласному та державному бюджетам</t>
  </si>
  <si>
    <t>по міському бюджету м.Черкаси у КВІТНІ 2019 р.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</si>
</sst>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200" fontId="21" fillId="33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 vertical="center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/>
    </xf>
    <xf numFmtId="200" fontId="1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200" fontId="10" fillId="34" borderId="10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0" sqref="A10:IV1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97" t="s">
        <v>12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1:33" ht="22.5" customHeight="1">
      <c r="A2" s="98" t="s">
        <v>52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19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62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0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72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72">
        <f>B10+C10-AF10</f>
        <v>1956.9999999999982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72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72">
        <f>B11+C11-AF11</f>
        <v>1076.2999999999993</v>
      </c>
    </row>
    <row r="12" spans="1:33" ht="15.7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412.20000000000005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72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72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72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72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7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8">
        <f t="shared" si="3"/>
        <v>288.09999999999854</v>
      </c>
      <c r="AH16" s="57"/>
    </row>
    <row r="17" spans="1:34" ht="15.7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72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72">
        <f t="shared" si="3"/>
        <v>2988.5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72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72">
        <f t="shared" si="3"/>
        <v>2551.7000000000007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72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72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72">
        <f t="shared" si="3"/>
        <v>49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72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72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72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72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8">
        <f t="shared" si="3"/>
        <v>0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72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72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72">
        <f aca="true" t="shared" si="6" ref="AG33:AG38">B33+C33-AF33</f>
        <v>471.49999999999994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72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72">
        <f t="shared" si="6"/>
        <v>34.89999999999998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72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72">
        <f aca="true" t="shared" si="8" ref="AG40:AG45">B40+C40-AF40</f>
        <v>88.40000000000009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72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72">
        <f t="shared" si="8"/>
        <v>5.699999999999932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2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2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72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72">
        <f t="shared" si="8"/>
        <v>77.4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72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72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80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72">
        <f>B47+C47-AF47</f>
        <v>2831.5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2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72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72">
        <f>B49+C49-AF49</f>
        <v>2730.0999999999995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72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72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72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72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72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72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72">
        <f t="shared" si="12"/>
        <v>761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72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72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72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72">
        <f t="shared" si="12"/>
        <v>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72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72">
        <f t="shared" si="12"/>
        <v>11.9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7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72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72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72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72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72">
        <f t="shared" si="15"/>
        <v>1041.1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72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72">
        <f t="shared" si="15"/>
        <v>94.20000000000005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72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72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72">
        <f t="shared" si="15"/>
        <v>75.60000000000001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72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72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72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72">
        <f>AG62-AG63-AG66-AG67-AG65-AG64</f>
        <v>411.9999999999999</v>
      </c>
    </row>
    <row r="69" spans="1:33" ht="31.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72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89">
        <f aca="true" t="shared" si="17" ref="AG69:AG92">B69+C69-AF69</f>
        <v>2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9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9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72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89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9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72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9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89">
        <f t="shared" si="17"/>
        <v>9.400000000000002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80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89">
        <f t="shared" si="17"/>
        <v>13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80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89">
        <f t="shared" si="17"/>
        <v>1.8000000000000114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9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9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89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9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9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72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72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72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72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72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72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72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72">
        <f t="shared" si="17"/>
        <v>5087.2</v>
      </c>
      <c r="AH89" s="11"/>
      <c r="AI89" s="85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72">
        <f t="shared" si="17"/>
        <v>0</v>
      </c>
      <c r="AH90" s="11"/>
    </row>
    <row r="91" spans="1:34" ht="15.7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72">
        <f t="shared" si="17"/>
        <v>207.9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72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1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.7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72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.7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72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72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72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72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2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M21" sqref="M2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11.00390625" style="0" customWidth="1"/>
    <col min="13" max="13" width="10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97" t="s">
        <v>12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1:33" ht="22.5" customHeight="1">
      <c r="A2" s="98" t="s">
        <v>53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68838.2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88367.49999999996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0">
        <f t="shared" si="0"/>
        <v>13450.800000000001</v>
      </c>
      <c r="N9" s="68">
        <f t="shared" si="0"/>
        <v>7202.2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83845.70000000001</v>
      </c>
      <c r="AG9" s="90">
        <f>AG10+AG15+AG24+AG33+AG47+AG52+AG54+AG61+AG62+AG71+AG72+AG76+AG88+AG81+AG83+AG82+AG69+AG89+AG91+AG90+AG70+AG40+AG92</f>
        <v>117749.70000000001</v>
      </c>
      <c r="AH9" s="41"/>
      <c r="AI9" s="41"/>
    </row>
    <row r="10" spans="1:33" ht="15.7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72">
        <v>1728.3</v>
      </c>
      <c r="N10" s="67">
        <v>5.1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7823.1</v>
      </c>
      <c r="AG10" s="72">
        <f>B10+C10-AF10</f>
        <v>11381.4</v>
      </c>
    </row>
    <row r="11" spans="1:33" ht="15.7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7400.4</v>
      </c>
      <c r="AG11" s="72">
        <f>B11+C11-AF11</f>
        <v>9846.9</v>
      </c>
    </row>
    <row r="12" spans="1:33" ht="15.7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72">
        <f>B12+C12-AF12</f>
        <v>754.4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72">
        <f t="shared" si="2"/>
        <v>70.70000000000005</v>
      </c>
      <c r="N14" s="67">
        <f t="shared" si="2"/>
        <v>5.1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361.0999999999999</v>
      </c>
      <c r="AG14" s="72">
        <f>AG10-AG11-AG12-AG13</f>
        <v>780.1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2528.1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34918.5</v>
      </c>
      <c r="AG15" s="72">
        <f aca="true" t="shared" si="3" ref="AG15:AG31">B15+C15-AF15</f>
        <v>48895.5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8">
        <f t="shared" si="3"/>
        <v>12523.999999999996</v>
      </c>
      <c r="AH16" s="57"/>
    </row>
    <row r="17" spans="1:34" ht="15.7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72">
        <f t="shared" si="3"/>
        <v>27450.3</v>
      </c>
      <c r="AH17" s="6"/>
    </row>
    <row r="18" spans="1:33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</row>
    <row r="19" spans="1:33" ht="15.7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2497.6</v>
      </c>
      <c r="AG19" s="72">
        <f t="shared" si="3"/>
        <v>4914.9000000000015</v>
      </c>
    </row>
    <row r="20" spans="1:33" ht="15.7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4564.199999999999</v>
      </c>
      <c r="AG20" s="72">
        <f t="shared" si="3"/>
        <v>15233.000000000002</v>
      </c>
    </row>
    <row r="21" spans="1:33" ht="15.7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190</v>
      </c>
      <c r="AG21" s="72">
        <f t="shared" si="3"/>
        <v>940.9000000000001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220.19999999999726</v>
      </c>
      <c r="AG23" s="72">
        <f t="shared" si="3"/>
        <v>356.4000000000038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4030.7+430.2</f>
        <v>4460.9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15297.4</v>
      </c>
      <c r="AG24" s="72">
        <f t="shared" si="3"/>
        <v>24769.999999999993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8">
        <f t="shared" si="3"/>
        <v>6143.200000000001</v>
      </c>
      <c r="AH25" s="57"/>
    </row>
    <row r="26" spans="1:34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166.6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4460.9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15297.4</v>
      </c>
      <c r="AG32" s="72">
        <f>AG24-AG30</f>
        <v>24603.399999999994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72">
        <f aca="true" t="shared" si="6" ref="AG33:AG38">B33+C33-AF33</f>
        <v>1126.5</v>
      </c>
    </row>
    <row r="34" spans="1:33" ht="15.7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72">
        <f t="shared" si="6"/>
        <v>257.1</v>
      </c>
    </row>
    <row r="35" spans="1:33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72">
        <f t="shared" si="6"/>
        <v>223.29999999999998</v>
      </c>
    </row>
    <row r="37" spans="1:33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646.1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72">
        <f aca="true" t="shared" si="8" ref="AG40:AG45">B40+C40-AF40</f>
        <v>663.0000000000001</v>
      </c>
    </row>
    <row r="41" spans="1:34" ht="15.7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72">
        <f t="shared" si="8"/>
        <v>480.89999999999986</v>
      </c>
      <c r="AH41" s="6"/>
    </row>
    <row r="42" spans="1:33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</row>
    <row r="43" spans="1:33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</row>
    <row r="44" spans="1:33" ht="15.7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72">
        <f t="shared" si="8"/>
        <v>157.9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72">
        <f>AG40-AG41-AG42-AG43-AG44-AG45</f>
        <v>21.700000000000244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2392.5000000000005</v>
      </c>
      <c r="AG47" s="72">
        <f>B47+C47-AF47</f>
        <v>5199.799999999999</v>
      </c>
    </row>
    <row r="48" spans="1:33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</row>
    <row r="49" spans="1:33" ht="15.7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2352.2000000000003</v>
      </c>
      <c r="AG49" s="72">
        <f>B49+C49-AF49</f>
        <v>5035.0999999999985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72">
        <f>AG47-AG49-AG48</f>
        <v>164.70000000000073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72">
        <f aca="true" t="shared" si="11" ref="AG52:AG59">B52+C52-AF52</f>
        <v>7620.1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72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72">
        <f t="shared" si="11"/>
        <v>1943.8000000000002</v>
      </c>
      <c r="AH54" s="6"/>
    </row>
    <row r="55" spans="1:34" ht="15.7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72">
        <f t="shared" si="11"/>
        <v>822.9999999999999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8</v>
      </c>
      <c r="AH56" s="6"/>
    </row>
    <row r="57" spans="1:33" ht="15.7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72">
        <f t="shared" si="11"/>
        <v>333.5</v>
      </c>
    </row>
    <row r="58" spans="1:33" ht="15.7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522</v>
      </c>
      <c r="AG60" s="72">
        <f>AG54-AG55-AG57-AG59-AG56-AG58</f>
        <v>750.4000000000002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16.9</v>
      </c>
      <c r="AG61" s="72">
        <f aca="true" t="shared" si="14" ref="AG61:AG67">B61+C61-AF61</f>
        <v>68.1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1268.8</v>
      </c>
      <c r="AG62" s="72">
        <f t="shared" si="14"/>
        <v>2938.499999999999</v>
      </c>
    </row>
    <row r="63" spans="1:34" ht="15.7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72">
        <f t="shared" si="14"/>
        <v>1025.3</v>
      </c>
      <c r="AH63" s="50"/>
    </row>
    <row r="64" spans="1:34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31.1</v>
      </c>
      <c r="AG65" s="72">
        <f t="shared" si="14"/>
        <v>137.20000000000002</v>
      </c>
      <c r="AH65" s="6"/>
    </row>
    <row r="66" spans="1:33" ht="15.7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1.5</v>
      </c>
      <c r="AG66" s="72">
        <f t="shared" si="14"/>
        <v>337.3</v>
      </c>
    </row>
    <row r="67" spans="1:33" ht="15.7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580</v>
      </c>
    </row>
    <row r="68" spans="1:33" ht="15.7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371</v>
      </c>
      <c r="AG68" s="72">
        <f>AG62-AG63-AG66-AG67-AG65-AG64</f>
        <v>858.6999999999991</v>
      </c>
    </row>
    <row r="69" spans="1:33" ht="31.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89">
        <f aca="true" t="shared" si="16" ref="AG69:AG92">B69+C69-AF69</f>
        <v>98.70000000000005</v>
      </c>
    </row>
    <row r="70" spans="1:33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</row>
    <row r="71" spans="1:50" ht="31.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72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416.1000000000001</v>
      </c>
      <c r="AG72" s="89">
        <f t="shared" si="16"/>
        <v>1589.2999999999997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89">
        <f t="shared" si="16"/>
        <v>389.8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9">
        <f t="shared" si="16"/>
        <v>26.500000000000004</v>
      </c>
    </row>
    <row r="76" spans="1:33" s="11" customFormat="1" ht="15.7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61.4</v>
      </c>
      <c r="AG76" s="89">
        <f t="shared" si="16"/>
        <v>98.29999999999998</v>
      </c>
    </row>
    <row r="77" spans="1:33" s="11" customFormat="1" ht="15.7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89">
        <f t="shared" si="16"/>
        <v>83.5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</row>
    <row r="80" spans="1:33" s="11" customFormat="1" ht="15.7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7.699999999999999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</row>
    <row r="82" spans="1:33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</row>
    <row r="83" spans="1:33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72">
        <f t="shared" si="16"/>
        <v>7167.3</v>
      </c>
      <c r="AH89" s="11"/>
      <c r="AI89" s="85"/>
    </row>
    <row r="90" spans="1:34" ht="15.7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72">
        <f t="shared" si="16"/>
        <v>3773.2</v>
      </c>
      <c r="AH90" s="11"/>
    </row>
    <row r="91" spans="1:34" ht="15.7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416.20000000000005</v>
      </c>
      <c r="AH91" s="11"/>
    </row>
    <row r="92" spans="1:34" ht="15.7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72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1">
        <f t="shared" si="17"/>
        <v>13450.800000000001</v>
      </c>
      <c r="N94" s="82">
        <f t="shared" si="17"/>
        <v>7202.2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83845.70000000001</v>
      </c>
      <c r="AG94" s="83">
        <f>AG10+AG15+AG24+AG33+AG47+AG52+AG54+AG61+AG62+AG69+AG71+AG72+AG76+AG81+AG82+AG83+AG88+AG89+AG90+AG91+AG70+AG40+AG92</f>
        <v>117749.70000000001</v>
      </c>
    </row>
    <row r="95" spans="1:33" ht="15.7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36798.8</v>
      </c>
      <c r="AG95" s="71">
        <f>B95+C95-AF95</f>
        <v>39967.90000000001</v>
      </c>
    </row>
    <row r="96" spans="1:33" ht="15.7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4862</v>
      </c>
      <c r="AG96" s="71">
        <f>B96+C96-AF96</f>
        <v>19895.3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2537</v>
      </c>
      <c r="AG98" s="71">
        <f>B98+C98-AF98</f>
        <v>5062.6</v>
      </c>
    </row>
    <row r="99" spans="1:33" ht="15.7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2542.2000000000003</v>
      </c>
      <c r="AG99" s="71">
        <f>B99+C99-AF99</f>
        <v>6778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2">
        <f t="shared" si="24"/>
        <v>10983.2</v>
      </c>
      <c r="N100" s="84">
        <f t="shared" si="24"/>
        <v>4652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37089.40000000001</v>
      </c>
      <c r="AG100" s="84">
        <f>AG94-AG95-AG96-AG97-AG98-AG99</f>
        <v>46045.9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17" sqref="C17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customWidth="1"/>
    <col min="10" max="10" width="8.25390625" style="18" customWidth="1"/>
    <col min="11" max="11" width="9.125" style="0" customWidth="1"/>
    <col min="12" max="12" width="11.00390625" style="0" customWidth="1"/>
    <col min="13" max="13" width="10.00390625" style="18" customWidth="1"/>
    <col min="14" max="14" width="8.2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97" t="s">
        <v>12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1:33" ht="22.5" customHeight="1">
      <c r="A2" s="98" t="s">
        <v>53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1117.2999999999956</v>
      </c>
      <c r="AF7" s="54"/>
      <c r="AG7" s="40"/>
    </row>
    <row r="8" spans="1:55" ht="18" customHeight="1">
      <c r="A8" s="47" t="s">
        <v>30</v>
      </c>
      <c r="B8" s="33">
        <f>SUM(E8:AB8)</f>
        <v>143115.19999999998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>
        <v>11904</v>
      </c>
      <c r="P8" s="61">
        <v>10666.5</v>
      </c>
      <c r="Q8" s="61">
        <v>8762.5</v>
      </c>
      <c r="R8" s="61">
        <v>7254.7</v>
      </c>
      <c r="S8" s="63">
        <v>4552</v>
      </c>
      <c r="T8" s="63">
        <v>10516.9</v>
      </c>
      <c r="U8" s="61">
        <v>4241.1</v>
      </c>
      <c r="V8" s="61">
        <v>5279.5</v>
      </c>
      <c r="W8" s="61">
        <v>11099.8</v>
      </c>
      <c r="X8" s="62"/>
      <c r="Y8" s="62"/>
      <c r="Z8" s="62"/>
      <c r="AA8" s="62"/>
      <c r="AB8" s="61"/>
      <c r="AC8" s="64"/>
      <c r="AD8" s="64"/>
      <c r="AE8" s="65">
        <f>SUM(D8:AD8)+C8-AF9+AF16+AF25</f>
        <v>73985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263305.19999999995</v>
      </c>
      <c r="C9" s="23">
        <f t="shared" si="0"/>
        <v>13399.5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4034.2999999999993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33857.399999999994</v>
      </c>
      <c r="M9" s="90">
        <f t="shared" si="0"/>
        <v>13450.9</v>
      </c>
      <c r="N9" s="68">
        <f t="shared" si="0"/>
        <v>7202.000000000001</v>
      </c>
      <c r="O9" s="68">
        <f t="shared" si="0"/>
        <v>30524.5</v>
      </c>
      <c r="P9" s="68">
        <f t="shared" si="0"/>
        <v>10666.5</v>
      </c>
      <c r="Q9" s="68">
        <f t="shared" si="0"/>
        <v>2269.2</v>
      </c>
      <c r="R9" s="68">
        <f t="shared" si="0"/>
        <v>5957.1</v>
      </c>
      <c r="S9" s="68">
        <f t="shared" si="0"/>
        <v>4598.900000000001</v>
      </c>
      <c r="T9" s="68">
        <f t="shared" si="0"/>
        <v>32024.6</v>
      </c>
      <c r="U9" s="68">
        <f t="shared" si="0"/>
        <v>16639.699999999986</v>
      </c>
      <c r="V9" s="68">
        <f t="shared" si="0"/>
        <v>5279.5</v>
      </c>
      <c r="W9" s="68">
        <f t="shared" si="0"/>
        <v>11099.8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202905.8</v>
      </c>
      <c r="AG9" s="90">
        <f>AG10+AG15+AG24+AG33+AG47+AG52+AG54+AG61+AG62+AG71+AG72+AG76+AG88+AG81+AG83+AG82+AG69+AG89+AG91+AG90+AG70+AG40+AG92</f>
        <v>73798.90000000001</v>
      </c>
      <c r="AH9" s="41"/>
      <c r="AI9" s="41"/>
    </row>
    <row r="10" spans="1:35" ht="15.75">
      <c r="A10" s="4" t="s">
        <v>4</v>
      </c>
      <c r="B10" s="22">
        <v>20853.5</v>
      </c>
      <c r="C10" s="22">
        <v>76.6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3844.8</v>
      </c>
      <c r="M10" s="72">
        <v>1728.4</v>
      </c>
      <c r="N10" s="67">
        <v>5.1</v>
      </c>
      <c r="O10" s="71">
        <v>21.1</v>
      </c>
      <c r="P10" s="67">
        <v>0.3</v>
      </c>
      <c r="Q10" s="67">
        <v>34.4</v>
      </c>
      <c r="R10" s="67">
        <v>45</v>
      </c>
      <c r="S10" s="72">
        <v>4.2</v>
      </c>
      <c r="T10" s="72">
        <v>963</v>
      </c>
      <c r="U10" s="72">
        <v>7087.2</v>
      </c>
      <c r="V10" s="72">
        <v>2475</v>
      </c>
      <c r="W10" s="72">
        <v>12.1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18465.6</v>
      </c>
      <c r="AG10" s="72">
        <f>B10+C10-AF10</f>
        <v>2464.5</v>
      </c>
      <c r="AI10" s="6"/>
    </row>
    <row r="11" spans="1:35" ht="15.75">
      <c r="A11" s="3" t="s">
        <v>5</v>
      </c>
      <c r="B11" s="22">
        <f>18725.4-37.5</f>
        <v>18687.9</v>
      </c>
      <c r="C11" s="22">
        <v>59.4</v>
      </c>
      <c r="D11" s="67"/>
      <c r="E11" s="67">
        <v>39.8</v>
      </c>
      <c r="F11" s="67">
        <v>0.3</v>
      </c>
      <c r="G11" s="67">
        <v>122</v>
      </c>
      <c r="H11" s="67">
        <f>99.9+1.4</f>
        <v>101.30000000000001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>
        <v>10</v>
      </c>
      <c r="P11" s="67"/>
      <c r="Q11" s="67">
        <v>5.7</v>
      </c>
      <c r="R11" s="67"/>
      <c r="S11" s="72"/>
      <c r="T11" s="72">
        <v>877.3</v>
      </c>
      <c r="U11" s="72">
        <v>7018.3</v>
      </c>
      <c r="V11" s="72">
        <v>1997.5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17409.1</v>
      </c>
      <c r="AG11" s="72">
        <f>B11+C11-AF11</f>
        <v>1338.2000000000044</v>
      </c>
      <c r="AI11" s="6"/>
    </row>
    <row r="12" spans="1:35" ht="15.75">
      <c r="A12" s="3" t="s">
        <v>2</v>
      </c>
      <c r="B12" s="29">
        <v>708.6</v>
      </c>
      <c r="C12" s="22"/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>
        <v>7.1</v>
      </c>
      <c r="P12" s="67"/>
      <c r="Q12" s="67"/>
      <c r="R12" s="67"/>
      <c r="S12" s="72"/>
      <c r="T12" s="72"/>
      <c r="U12" s="72"/>
      <c r="V12" s="72">
        <v>340.1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408.8</v>
      </c>
      <c r="AG12" s="72">
        <f>B12+C12-AF12</f>
        <v>299.8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1456.9999999999986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55.399999999999984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16.800000000000182</v>
      </c>
      <c r="M14" s="72">
        <f t="shared" si="2"/>
        <v>70.80000000000018</v>
      </c>
      <c r="N14" s="67">
        <f t="shared" si="2"/>
        <v>5.1</v>
      </c>
      <c r="O14" s="67">
        <f t="shared" si="2"/>
        <v>4.000000000000002</v>
      </c>
      <c r="P14" s="67">
        <f t="shared" si="2"/>
        <v>0.3</v>
      </c>
      <c r="Q14" s="67">
        <f t="shared" si="2"/>
        <v>28.7</v>
      </c>
      <c r="R14" s="67">
        <f t="shared" si="2"/>
        <v>45</v>
      </c>
      <c r="S14" s="67">
        <f t="shared" si="2"/>
        <v>4.2</v>
      </c>
      <c r="T14" s="67">
        <f t="shared" si="2"/>
        <v>85.70000000000005</v>
      </c>
      <c r="U14" s="67">
        <f t="shared" si="2"/>
        <v>68.89999999999964</v>
      </c>
      <c r="V14" s="67">
        <f t="shared" si="2"/>
        <v>137.39999999999998</v>
      </c>
      <c r="W14" s="67">
        <f t="shared" si="2"/>
        <v>12.1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647.7000000000002</v>
      </c>
      <c r="AG14" s="72">
        <f>AG10-AG11-AG12-AG13</f>
        <v>826.4999999999957</v>
      </c>
      <c r="AI14" s="6"/>
    </row>
    <row r="15" spans="1:35" ht="15" customHeight="1">
      <c r="A15" s="4" t="s">
        <v>6</v>
      </c>
      <c r="B15" s="22">
        <v>110524.8</v>
      </c>
      <c r="C15" s="22">
        <v>288.2</v>
      </c>
      <c r="D15" s="73">
        <f>2403.3+273.5</f>
        <v>2676.8</v>
      </c>
      <c r="E15" s="73"/>
      <c r="F15" s="67">
        <v>220.6</v>
      </c>
      <c r="G15" s="67">
        <v>39.4</v>
      </c>
      <c r="H15" s="67">
        <f>2669.9+0.1</f>
        <v>2670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2528.2</v>
      </c>
      <c r="O15" s="71"/>
      <c r="P15" s="67">
        <v>222.7</v>
      </c>
      <c r="Q15" s="71">
        <v>0.8</v>
      </c>
      <c r="R15" s="67">
        <v>3854.8</v>
      </c>
      <c r="S15" s="72">
        <v>741.1</v>
      </c>
      <c r="T15" s="72">
        <f>3541.7</f>
        <v>3541.7</v>
      </c>
      <c r="U15" s="72">
        <f>24275+12398.6</f>
        <v>36673.6</v>
      </c>
      <c r="V15" s="72">
        <v>1128.8</v>
      </c>
      <c r="W15" s="72">
        <v>-92.4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80989.8</v>
      </c>
      <c r="AG15" s="72">
        <f aca="true" t="shared" si="3" ref="AG15:AG31">B15+C15-AF15</f>
        <v>29823.199999999997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288.1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>
        <v>12398.6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23182.300000000003</v>
      </c>
      <c r="AG16" s="88">
        <f t="shared" si="3"/>
        <v>125.39999999999418</v>
      </c>
      <c r="AH16" s="57"/>
      <c r="AI16" s="6"/>
    </row>
    <row r="17" spans="1:35" ht="15.75">
      <c r="A17" s="3" t="s">
        <v>5</v>
      </c>
      <c r="B17" s="22">
        <v>61693.8</v>
      </c>
      <c r="C17" s="22">
        <v>288.2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>
        <f>19789.8+12398.6</f>
        <v>32188.4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59618.600000000006</v>
      </c>
      <c r="AG17" s="72">
        <f t="shared" si="3"/>
        <v>2363.399999999994</v>
      </c>
      <c r="AH17" s="6"/>
      <c r="AI17" s="6"/>
    </row>
    <row r="18" spans="1:35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  <c r="AI18" s="6"/>
    </row>
    <row r="19" spans="1:35" ht="15.75">
      <c r="A19" s="3" t="s">
        <v>1</v>
      </c>
      <c r="B19" s="22">
        <v>7820.9</v>
      </c>
      <c r="C19" s="22">
        <v>0.1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>
        <v>46.4</v>
      </c>
      <c r="Q19" s="71"/>
      <c r="R19" s="67">
        <v>224.9</v>
      </c>
      <c r="S19" s="72">
        <v>741.1</v>
      </c>
      <c r="T19" s="72">
        <v>480.5</v>
      </c>
      <c r="U19" s="72">
        <v>382.6</v>
      </c>
      <c r="V19" s="72"/>
      <c r="W19" s="72">
        <v>-93.5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4279.6</v>
      </c>
      <c r="AG19" s="72">
        <f t="shared" si="3"/>
        <v>3541.3999999999996</v>
      </c>
      <c r="AI19" s="6"/>
    </row>
    <row r="20" spans="1:35" ht="15.75">
      <c r="A20" s="3" t="s">
        <v>2</v>
      </c>
      <c r="B20" s="22">
        <v>35399.2</v>
      </c>
      <c r="C20" s="22">
        <v>0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>
        <v>42</v>
      </c>
      <c r="Q20" s="71">
        <v>0.7</v>
      </c>
      <c r="R20" s="67">
        <v>3077.2</v>
      </c>
      <c r="S20" s="72"/>
      <c r="T20" s="72">
        <v>2292.1</v>
      </c>
      <c r="U20" s="72">
        <v>4098.5</v>
      </c>
      <c r="V20" s="72">
        <v>884.8</v>
      </c>
      <c r="W20" s="72">
        <v>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14960.599999999999</v>
      </c>
      <c r="AG20" s="72">
        <f t="shared" si="3"/>
        <v>20438.6</v>
      </c>
      <c r="AI20" s="6"/>
    </row>
    <row r="21" spans="1:35" ht="15.75">
      <c r="A21" s="3" t="s">
        <v>16</v>
      </c>
      <c r="B21" s="22">
        <v>1226.9</v>
      </c>
      <c r="C21" s="22">
        <v>0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>
        <v>134.3</v>
      </c>
      <c r="Q21" s="71"/>
      <c r="R21" s="67"/>
      <c r="S21" s="72"/>
      <c r="T21" s="72">
        <v>503.1</v>
      </c>
      <c r="U21" s="67"/>
      <c r="V21" s="67">
        <v>242.3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1069.7</v>
      </c>
      <c r="AG21" s="72">
        <f t="shared" si="3"/>
        <v>157.20000000000005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4367.699999999999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3.7000000000000455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11.099999999999909</v>
      </c>
      <c r="O23" s="67">
        <f t="shared" si="4"/>
        <v>0</v>
      </c>
      <c r="P23" s="67">
        <f t="shared" si="4"/>
        <v>-2.842170943040401E-14</v>
      </c>
      <c r="Q23" s="67">
        <f t="shared" si="4"/>
        <v>0.10000000000000009</v>
      </c>
      <c r="R23" s="67">
        <f t="shared" si="4"/>
        <v>552.7000000000003</v>
      </c>
      <c r="S23" s="67">
        <f t="shared" si="4"/>
        <v>0</v>
      </c>
      <c r="T23" s="67">
        <f t="shared" si="4"/>
        <v>265.9999999999999</v>
      </c>
      <c r="U23" s="67">
        <f t="shared" si="4"/>
        <v>4.099999999996726</v>
      </c>
      <c r="V23" s="67">
        <f t="shared" si="4"/>
        <v>1.6999999999999886</v>
      </c>
      <c r="W23" s="67">
        <f t="shared" si="4"/>
        <v>-5.773159728050814E-15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1044.9999999999939</v>
      </c>
      <c r="AG23" s="72">
        <f t="shared" si="3"/>
        <v>3537.000000000011</v>
      </c>
      <c r="AI23" s="6"/>
    </row>
    <row r="24" spans="1:35" ht="15" customHeight="1">
      <c r="A24" s="4" t="s">
        <v>7</v>
      </c>
      <c r="B24" s="22">
        <v>39159.3</v>
      </c>
      <c r="C24" s="22">
        <v>0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</f>
        <v>4460.7</v>
      </c>
      <c r="O24" s="71">
        <v>29.9</v>
      </c>
      <c r="P24" s="67"/>
      <c r="Q24" s="71"/>
      <c r="R24" s="71"/>
      <c r="S24" s="72">
        <f>505.9+258.6</f>
        <v>764.5</v>
      </c>
      <c r="T24" s="72">
        <f>9247.5+5793.7</f>
        <v>15041.2</v>
      </c>
      <c r="U24" s="72">
        <v>177.6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31310.4</v>
      </c>
      <c r="AG24" s="72">
        <f t="shared" si="3"/>
        <v>7848.9000000000015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>
        <v>258.6</v>
      </c>
      <c r="T25" s="76">
        <v>5793.8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16947.4</v>
      </c>
      <c r="AG25" s="88">
        <f t="shared" si="3"/>
        <v>90.79999999999927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90.9</v>
      </c>
      <c r="C30" s="22">
        <v>0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90.9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39068.4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4460.7</v>
      </c>
      <c r="O32" s="67">
        <f t="shared" si="5"/>
        <v>29.9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764.5</v>
      </c>
      <c r="T32" s="67">
        <f t="shared" si="5"/>
        <v>15041.2</v>
      </c>
      <c r="U32" s="67">
        <f t="shared" si="5"/>
        <v>177.6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31310.4</v>
      </c>
      <c r="AG32" s="72">
        <f>AG24-AG30</f>
        <v>7758.000000000002</v>
      </c>
      <c r="AI32" s="6"/>
    </row>
    <row r="33" spans="1:35" ht="15" customHeight="1">
      <c r="A33" s="4" t="s">
        <v>8</v>
      </c>
      <c r="B33" s="22">
        <v>436.7</v>
      </c>
      <c r="C33" s="22">
        <v>85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>
        <v>44</v>
      </c>
      <c r="Q33" s="71"/>
      <c r="R33" s="67"/>
      <c r="S33" s="72"/>
      <c r="T33" s="72">
        <v>180.6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328.9</v>
      </c>
      <c r="AG33" s="72">
        <f aca="true" t="shared" si="6" ref="AG33:AG38">B33+C33-AF33</f>
        <v>192.80000000000007</v>
      </c>
      <c r="AI33" s="6"/>
    </row>
    <row r="34" spans="1:35" ht="15.75">
      <c r="A34" s="3" t="s">
        <v>5</v>
      </c>
      <c r="B34" s="22">
        <v>296.4</v>
      </c>
      <c r="C34" s="22">
        <v>1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>
        <v>180.6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273.5</v>
      </c>
      <c r="AG34" s="72">
        <f t="shared" si="6"/>
        <v>23.899999999999977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105.7</v>
      </c>
      <c r="C36" s="22">
        <v>65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>
        <v>44</v>
      </c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53.6</v>
      </c>
      <c r="AG36" s="72">
        <f t="shared" si="6"/>
        <v>117.1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34.60000000000001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51.8000000000001</v>
      </c>
      <c r="AI39" s="6"/>
    </row>
    <row r="40" spans="1:35" ht="15" customHeight="1">
      <c r="A40" s="4" t="s">
        <v>29</v>
      </c>
      <c r="B40" s="22">
        <v>1526.7</v>
      </c>
      <c r="C40" s="22">
        <v>0.1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>
        <v>721.1</v>
      </c>
      <c r="U40" s="72">
        <v>127.1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1405</v>
      </c>
      <c r="AG40" s="72">
        <f aca="true" t="shared" si="8" ref="AG40:AG45">B40+C40-AF40</f>
        <v>121.79999999999995</v>
      </c>
      <c r="AI40" s="6"/>
    </row>
    <row r="41" spans="1:35" ht="15.75">
      <c r="A41" s="3" t="s">
        <v>5</v>
      </c>
      <c r="B41" s="22">
        <v>1293</v>
      </c>
      <c r="C41" s="22">
        <v>0.1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>
        <v>691.2</v>
      </c>
      <c r="U41" s="72">
        <v>14.1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1215.4</v>
      </c>
      <c r="AG41" s="72">
        <f t="shared" si="8"/>
        <v>77.69999999999982</v>
      </c>
      <c r="AH41" s="6"/>
      <c r="AI41" s="6"/>
    </row>
    <row r="42" spans="1:35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  <c r="AI42" s="6"/>
    </row>
    <row r="43" spans="1:35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  <c r="AI43" s="6"/>
    </row>
    <row r="44" spans="1:35" ht="15.75">
      <c r="A44" s="3" t="s">
        <v>2</v>
      </c>
      <c r="B44" s="22">
        <v>190.8</v>
      </c>
      <c r="C44" s="22"/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>
        <v>3.3</v>
      </c>
      <c r="U44" s="72">
        <v>112.6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153.79999999999998</v>
      </c>
      <c r="AG44" s="72">
        <f t="shared" si="8"/>
        <v>37.00000000000003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32.10000000000002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26.599999999999977</v>
      </c>
      <c r="U46" s="67">
        <f t="shared" si="9"/>
        <v>0.4000000000000057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27.50000000000001</v>
      </c>
      <c r="AG46" s="72">
        <f>AG40-AG41-AG42-AG43-AG44-AG45</f>
        <v>4.600000000000108</v>
      </c>
      <c r="AI46" s="6"/>
    </row>
    <row r="47" spans="1:35" ht="17.25" customHeight="1">
      <c r="A47" s="4" t="s">
        <v>43</v>
      </c>
      <c r="B47" s="29">
        <v>7482.2</v>
      </c>
      <c r="C47" s="22">
        <v>0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>
        <v>131.3</v>
      </c>
      <c r="Q47" s="79"/>
      <c r="R47" s="79">
        <v>1879.3</v>
      </c>
      <c r="S47" s="80">
        <f>351.4</f>
        <v>351.4</v>
      </c>
      <c r="T47" s="80">
        <v>97.1</v>
      </c>
      <c r="U47" s="79">
        <v>16.6</v>
      </c>
      <c r="V47" s="79">
        <v>48.3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4916.500000000001</v>
      </c>
      <c r="AG47" s="72">
        <f>B47+C47-AF47</f>
        <v>2565.699999999999</v>
      </c>
      <c r="AI47" s="6"/>
    </row>
    <row r="48" spans="1:35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  <c r="AI48" s="6"/>
    </row>
    <row r="49" spans="1:35" ht="15.75">
      <c r="A49" s="3" t="s">
        <v>16</v>
      </c>
      <c r="B49" s="22">
        <v>6301.2</v>
      </c>
      <c r="C49" s="22">
        <v>0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>
        <v>131.3</v>
      </c>
      <c r="Q49" s="67"/>
      <c r="R49" s="67">
        <v>1879.3</v>
      </c>
      <c r="S49" s="72">
        <f>114.9+217.4</f>
        <v>332.3</v>
      </c>
      <c r="T49" s="72">
        <v>66.2</v>
      </c>
      <c r="U49" s="67">
        <v>14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4775.3</v>
      </c>
      <c r="AG49" s="72">
        <f>B49+C49-AF49</f>
        <v>1525.8999999999996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1181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19.099999999999966</v>
      </c>
      <c r="T51" s="67">
        <f t="shared" si="10"/>
        <v>30.89999999999999</v>
      </c>
      <c r="U51" s="67">
        <f t="shared" si="10"/>
        <v>2.6000000000000014</v>
      </c>
      <c r="V51" s="67">
        <f t="shared" si="10"/>
        <v>48.3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141.19999999999993</v>
      </c>
      <c r="AG51" s="72">
        <f>AG47-AG49-AG48</f>
        <v>1039.7999999999993</v>
      </c>
      <c r="AI51" s="6"/>
    </row>
    <row r="52" spans="1:35" ht="15" customHeight="1">
      <c r="A52" s="4" t="s">
        <v>0</v>
      </c>
      <c r="B52" s="22">
        <f>6888.5-3200</f>
        <v>3688.5</v>
      </c>
      <c r="C52" s="22">
        <v>2082.9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>
        <f>1198.1</f>
        <v>1198.1</v>
      </c>
      <c r="T52" s="72">
        <v>490.3</v>
      </c>
      <c r="U52" s="72">
        <v>154</v>
      </c>
      <c r="V52" s="72">
        <v>72.1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2955.4</v>
      </c>
      <c r="AG52" s="72">
        <f aca="true" t="shared" si="11" ref="AG52:AG59">B52+C52-AF52</f>
        <v>2815.9999999999995</v>
      </c>
      <c r="AI52" s="6"/>
    </row>
    <row r="53" spans="1:35" ht="15" customHeight="1">
      <c r="A53" s="3" t="s">
        <v>2</v>
      </c>
      <c r="B53" s="22">
        <f>2630.3-1800</f>
        <v>830.3000000000002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>
        <v>598.7</v>
      </c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601.3000000000001</v>
      </c>
      <c r="AG53" s="72">
        <f t="shared" si="11"/>
        <v>1418</v>
      </c>
      <c r="AI53" s="6"/>
    </row>
    <row r="54" spans="1:35" ht="15" customHeight="1">
      <c r="A54" s="4" t="s">
        <v>9</v>
      </c>
      <c r="B54" s="36">
        <v>2626</v>
      </c>
      <c r="C54" s="22">
        <v>20.3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173.8</v>
      </c>
      <c r="O54" s="71"/>
      <c r="P54" s="67"/>
      <c r="Q54" s="71">
        <v>53.1</v>
      </c>
      <c r="R54" s="67">
        <v>2.1</v>
      </c>
      <c r="S54" s="72">
        <v>1.1</v>
      </c>
      <c r="T54" s="72">
        <v>14</v>
      </c>
      <c r="U54" s="72">
        <v>954.2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1914</v>
      </c>
      <c r="AG54" s="72">
        <f t="shared" si="11"/>
        <v>732.3000000000002</v>
      </c>
      <c r="AH54" s="6"/>
      <c r="AI54" s="6"/>
    </row>
    <row r="55" spans="1:35" ht="15.75">
      <c r="A55" s="3" t="s">
        <v>5</v>
      </c>
      <c r="B55" s="22">
        <v>1176.1</v>
      </c>
      <c r="C55" s="22">
        <v>20.3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>
        <v>14</v>
      </c>
      <c r="U55" s="72">
        <v>629.4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1011</v>
      </c>
      <c r="AG55" s="72">
        <f t="shared" si="11"/>
        <v>185.39999999999986</v>
      </c>
      <c r="AH55" s="6"/>
      <c r="AI55" s="6"/>
    </row>
    <row r="56" spans="1:35" ht="15" customHeight="1">
      <c r="A56" s="3" t="s">
        <v>1</v>
      </c>
      <c r="B56" s="22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474.5</v>
      </c>
      <c r="C57" s="22">
        <v>0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>
        <v>1.1</v>
      </c>
      <c r="T57" s="72"/>
      <c r="U57" s="72">
        <v>273.8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274.90000000000003</v>
      </c>
      <c r="AG57" s="72">
        <f t="shared" si="11"/>
        <v>199.59999999999997</v>
      </c>
      <c r="AI57" s="6"/>
    </row>
    <row r="58" spans="1:35" ht="15.75">
      <c r="A58" s="3" t="s">
        <v>16</v>
      </c>
      <c r="B58" s="29">
        <v>28.9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946.5000000000001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173.8</v>
      </c>
      <c r="O60" s="67">
        <f t="shared" si="12"/>
        <v>0</v>
      </c>
      <c r="P60" s="67">
        <f t="shared" si="12"/>
        <v>0</v>
      </c>
      <c r="Q60" s="67">
        <f t="shared" si="12"/>
        <v>53.1</v>
      </c>
      <c r="R60" s="67">
        <f t="shared" si="12"/>
        <v>2.1</v>
      </c>
      <c r="S60" s="67">
        <f t="shared" si="12"/>
        <v>0</v>
      </c>
      <c r="T60" s="67">
        <f t="shared" si="12"/>
        <v>0</v>
      </c>
      <c r="U60" s="67">
        <f t="shared" si="12"/>
        <v>51.00000000000006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628.0999999999999</v>
      </c>
      <c r="AG60" s="72">
        <f>AG54-AG55-AG57-AG59-AG56-AG58</f>
        <v>318.4000000000004</v>
      </c>
      <c r="AI60" s="6"/>
    </row>
    <row r="61" spans="1:35" ht="15" customHeight="1">
      <c r="A61" s="4" t="s">
        <v>10</v>
      </c>
      <c r="B61" s="22">
        <v>80</v>
      </c>
      <c r="C61" s="22"/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>
        <v>11.6</v>
      </c>
      <c r="P61" s="67"/>
      <c r="Q61" s="71"/>
      <c r="R61" s="67"/>
      <c r="S61" s="72">
        <v>18.4</v>
      </c>
      <c r="T61" s="72"/>
      <c r="U61" s="72">
        <v>18.7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65.6</v>
      </c>
      <c r="AG61" s="72">
        <f aca="true" t="shared" si="14" ref="AG61:AG67">B61+C61-AF61</f>
        <v>14.400000000000006</v>
      </c>
      <c r="AI61" s="6"/>
    </row>
    <row r="62" spans="1:35" ht="15" customHeight="1">
      <c r="A62" s="4" t="s">
        <v>11</v>
      </c>
      <c r="B62" s="22">
        <v>5195.5</v>
      </c>
      <c r="C62" s="22">
        <v>77.2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>
        <v>56.2</v>
      </c>
      <c r="P62" s="67"/>
      <c r="Q62" s="71"/>
      <c r="R62" s="67">
        <v>95</v>
      </c>
      <c r="S62" s="72"/>
      <c r="T62" s="72">
        <v>1327.2</v>
      </c>
      <c r="U62" s="72">
        <v>403.4</v>
      </c>
      <c r="V62" s="72">
        <v>2.3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3152.9</v>
      </c>
      <c r="AG62" s="72">
        <f t="shared" si="14"/>
        <v>2119.7999999999997</v>
      </c>
      <c r="AI62" s="6"/>
    </row>
    <row r="63" spans="1:35" ht="15.75">
      <c r="A63" s="3" t="s">
        <v>5</v>
      </c>
      <c r="B63" s="22">
        <v>2456.9</v>
      </c>
      <c r="C63" s="22">
        <v>0.1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>
        <v>984.4</v>
      </c>
      <c r="U63" s="72">
        <v>270.7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2120.2999999999997</v>
      </c>
      <c r="AG63" s="72">
        <f t="shared" si="14"/>
        <v>336.7000000000003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359.2</v>
      </c>
      <c r="C65" s="22">
        <v>42.8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>
        <v>24.7</v>
      </c>
      <c r="P65" s="67"/>
      <c r="Q65" s="71"/>
      <c r="R65" s="67">
        <v>6.6</v>
      </c>
      <c r="S65" s="72"/>
      <c r="T65" s="72"/>
      <c r="U65" s="72">
        <v>7.8</v>
      </c>
      <c r="V65" s="72">
        <v>2.3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72.5</v>
      </c>
      <c r="AG65" s="72">
        <f t="shared" si="14"/>
        <v>329.5</v>
      </c>
      <c r="AH65" s="6"/>
      <c r="AI65" s="6"/>
    </row>
    <row r="66" spans="1:35" ht="15.75">
      <c r="A66" s="3" t="s">
        <v>2</v>
      </c>
      <c r="B66" s="22">
        <v>320.7</v>
      </c>
      <c r="C66" s="22"/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>
        <v>21.4</v>
      </c>
      <c r="P66" s="67"/>
      <c r="Q66" s="67"/>
      <c r="R66" s="67">
        <v>80.5</v>
      </c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103.4</v>
      </c>
      <c r="AG66" s="72">
        <f t="shared" si="14"/>
        <v>217.29999999999998</v>
      </c>
      <c r="AI66" s="6"/>
    </row>
    <row r="67" spans="1:35" ht="15.75">
      <c r="A67" s="3" t="s">
        <v>16</v>
      </c>
      <c r="B67" s="22">
        <v>580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>
        <v>227</v>
      </c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227</v>
      </c>
      <c r="AG67" s="72">
        <f t="shared" si="14"/>
        <v>353</v>
      </c>
      <c r="AI67" s="6"/>
    </row>
    <row r="68" spans="1:35" ht="15.75">
      <c r="A68" s="3" t="s">
        <v>23</v>
      </c>
      <c r="B68" s="22">
        <f aca="true" t="shared" si="15" ref="B68:AD68">B62-B63-B66-B67-B65-B64</f>
        <v>1478.7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10.100000000000005</v>
      </c>
      <c r="P68" s="67">
        <f t="shared" si="15"/>
        <v>0</v>
      </c>
      <c r="Q68" s="67">
        <f t="shared" si="15"/>
        <v>0</v>
      </c>
      <c r="R68" s="67">
        <f t="shared" si="15"/>
        <v>7.9</v>
      </c>
      <c r="S68" s="67">
        <f t="shared" si="15"/>
        <v>0</v>
      </c>
      <c r="T68" s="67">
        <f t="shared" si="15"/>
        <v>115.80000000000007</v>
      </c>
      <c r="U68" s="67">
        <f t="shared" si="15"/>
        <v>124.89999999999999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629.7</v>
      </c>
      <c r="AG68" s="72">
        <f>AG62-AG63-AG66-AG67-AG65-AG64</f>
        <v>883.2999999999995</v>
      </c>
      <c r="AI68" s="6"/>
    </row>
    <row r="69" spans="1:35" ht="31.5">
      <c r="A69" s="4" t="s">
        <v>45</v>
      </c>
      <c r="B69" s="22">
        <v>2404.4</v>
      </c>
      <c r="C69" s="22">
        <v>2.1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>
        <v>901.8</v>
      </c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2388.2</v>
      </c>
      <c r="AG69" s="89">
        <f aca="true" t="shared" si="16" ref="AG69:AG92">B69+C69-AF69</f>
        <v>18.300000000000182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f>29.2+28.2+1342</f>
        <v>1399.4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1399.4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2685.4-57.4</f>
        <v>2628</v>
      </c>
      <c r="C72" s="22">
        <v>95.7</v>
      </c>
      <c r="D72" s="67"/>
      <c r="E72" s="67">
        <v>80.5</v>
      </c>
      <c r="F72" s="67">
        <v>153.4</v>
      </c>
      <c r="G72" s="67"/>
      <c r="H72" s="67">
        <f>141.9+0.1</f>
        <v>142</v>
      </c>
      <c r="I72" s="67"/>
      <c r="J72" s="72"/>
      <c r="K72" s="67">
        <v>2.8</v>
      </c>
      <c r="L72" s="67">
        <v>3.2</v>
      </c>
      <c r="M72" s="72">
        <v>0.3</v>
      </c>
      <c r="N72" s="67">
        <v>34.1</v>
      </c>
      <c r="O72" s="67"/>
      <c r="P72" s="67"/>
      <c r="Q72" s="71">
        <v>10.4</v>
      </c>
      <c r="R72" s="67">
        <v>80.9</v>
      </c>
      <c r="S72" s="72">
        <f>1520.1-901.8</f>
        <v>618.3</v>
      </c>
      <c r="T72" s="72">
        <v>51.7</v>
      </c>
      <c r="U72" s="72">
        <f>223.5-88.9</f>
        <v>134.6</v>
      </c>
      <c r="V72" s="72">
        <v>16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1328.2</v>
      </c>
      <c r="AG72" s="89">
        <f t="shared" si="16"/>
        <v>1395.4999999999998</v>
      </c>
      <c r="AI72" s="6"/>
    </row>
    <row r="73" spans="1:35" ht="15" customHeight="1">
      <c r="A73" s="3" t="s">
        <v>5</v>
      </c>
      <c r="B73" s="22">
        <v>161</v>
      </c>
      <c r="C73" s="22">
        <v>0.1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>
        <v>80.5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161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113.9+333.4</f>
        <v>447.29999999999995</v>
      </c>
      <c r="C74" s="22"/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>
        <v>80.9</v>
      </c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256.20000000000005</v>
      </c>
      <c r="AG74" s="89">
        <f t="shared" si="16"/>
        <v>191.0999999999999</v>
      </c>
      <c r="AI74" s="6"/>
    </row>
    <row r="75" spans="1:35" ht="15" customHeight="1">
      <c r="A75" s="3" t="s">
        <v>16</v>
      </c>
      <c r="B75" s="22">
        <v>59.6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>
        <v>48</v>
      </c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55.7</v>
      </c>
      <c r="AG75" s="89">
        <f t="shared" si="16"/>
        <v>3.8999999999999986</v>
      </c>
      <c r="AI75" s="6"/>
    </row>
    <row r="76" spans="1:35" s="11" customFormat="1" ht="15.75">
      <c r="A76" s="12" t="s">
        <v>48</v>
      </c>
      <c r="B76" s="22">
        <f>188.3</f>
        <v>188.3</v>
      </c>
      <c r="C76" s="22">
        <v>13.1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>
        <v>1.9</v>
      </c>
      <c r="Q76" s="81"/>
      <c r="R76" s="79"/>
      <c r="S76" s="80"/>
      <c r="T76" s="80"/>
      <c r="U76" s="79">
        <v>88.9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152.2</v>
      </c>
      <c r="AG76" s="89">
        <f t="shared" si="16"/>
        <v>49.20000000000002</v>
      </c>
      <c r="AI76" s="6"/>
    </row>
    <row r="77" spans="1:35" s="11" customFormat="1" ht="15.75">
      <c r="A77" s="3" t="s">
        <v>5</v>
      </c>
      <c r="B77" s="22">
        <v>140.3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>
        <v>81.4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133.3</v>
      </c>
      <c r="AG77" s="89">
        <f t="shared" si="16"/>
        <v>8.800000000000011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8.4</v>
      </c>
      <c r="C80" s="22">
        <v>9.3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8.400000000000002</v>
      </c>
      <c r="AI80" s="6"/>
    </row>
    <row r="81" spans="1:35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f>8854.6+9000</f>
        <v>17854.6</v>
      </c>
      <c r="C89" s="22">
        <v>122.9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>
        <v>192.1</v>
      </c>
      <c r="R89" s="67"/>
      <c r="S89" s="72"/>
      <c r="T89" s="72">
        <v>9596.7</v>
      </c>
      <c r="U89" s="67"/>
      <c r="V89" s="67">
        <v>54.9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15827.9</v>
      </c>
      <c r="AG89" s="72">
        <f t="shared" si="16"/>
        <v>2149.6000000000004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>
        <v>1886.8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v>833.3</v>
      </c>
      <c r="C91" s="22">
        <v>833.4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1666.6999999999998</v>
      </c>
      <c r="AH91" s="11"/>
      <c r="AI91" s="6"/>
    </row>
    <row r="92" spans="1:34" ht="15.75">
      <c r="A92" s="4" t="s">
        <v>37</v>
      </c>
      <c r="B92" s="22">
        <f>46563.6-5800</f>
        <v>40763.6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>
        <v>30405.7</v>
      </c>
      <c r="P92" s="67">
        <v>10266.3</v>
      </c>
      <c r="Q92" s="67">
        <v>91.6</v>
      </c>
      <c r="R92" s="67"/>
      <c r="S92" s="72"/>
      <c r="T92" s="72"/>
      <c r="U92" s="67">
        <v>-29196.2</v>
      </c>
      <c r="V92" s="67">
        <v>1482.1</v>
      </c>
      <c r="W92" s="67">
        <v>9293.3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32044.799999999996</v>
      </c>
      <c r="AG92" s="72">
        <f t="shared" si="16"/>
        <v>18420.800000000003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263305.19999999995</v>
      </c>
      <c r="C94" s="35">
        <f t="shared" si="17"/>
        <v>13399.5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4034.2999999999993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33857.399999999994</v>
      </c>
      <c r="M94" s="91">
        <f t="shared" si="17"/>
        <v>13450.9</v>
      </c>
      <c r="N94" s="82">
        <f t="shared" si="17"/>
        <v>7202.000000000001</v>
      </c>
      <c r="O94" s="82">
        <f t="shared" si="17"/>
        <v>30524.5</v>
      </c>
      <c r="P94" s="82">
        <f t="shared" si="17"/>
        <v>10666.5</v>
      </c>
      <c r="Q94" s="82">
        <f t="shared" si="17"/>
        <v>2269.2</v>
      </c>
      <c r="R94" s="82">
        <f t="shared" si="17"/>
        <v>5957.1</v>
      </c>
      <c r="S94" s="82">
        <f t="shared" si="17"/>
        <v>4598.900000000001</v>
      </c>
      <c r="T94" s="82">
        <f t="shared" si="17"/>
        <v>32024.6</v>
      </c>
      <c r="U94" s="82">
        <f t="shared" si="17"/>
        <v>16639.699999999986</v>
      </c>
      <c r="V94" s="82">
        <f t="shared" si="17"/>
        <v>5279.5</v>
      </c>
      <c r="W94" s="82">
        <f t="shared" si="17"/>
        <v>11099.8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202905.8</v>
      </c>
      <c r="AG94" s="83">
        <f>AG10+AG15+AG24+AG33+AG47+AG52+AG54+AG61+AG62+AG69+AG71+AG72+AG76+AG81+AG82+AG83+AG88+AG89+AG90+AG91+AG70+AG40+AG92</f>
        <v>73798.90000000001</v>
      </c>
    </row>
    <row r="95" spans="1:33" ht="15.75">
      <c r="A95" s="3" t="s">
        <v>5</v>
      </c>
      <c r="B95" s="22">
        <f aca="true" t="shared" si="18" ref="B95:AD95">B11+B17+B26+B34+B55+B63+B73+B41+B77+B48</f>
        <v>85905.40000000001</v>
      </c>
      <c r="C95" s="22">
        <f t="shared" si="18"/>
        <v>371.00000000000006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101.30000000000001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10</v>
      </c>
      <c r="P95" s="67">
        <f t="shared" si="18"/>
        <v>0</v>
      </c>
      <c r="Q95" s="67">
        <f t="shared" si="18"/>
        <v>5.7</v>
      </c>
      <c r="R95" s="67">
        <f t="shared" si="18"/>
        <v>0</v>
      </c>
      <c r="S95" s="67">
        <f t="shared" si="18"/>
        <v>0</v>
      </c>
      <c r="T95" s="67">
        <f t="shared" si="18"/>
        <v>2747.5</v>
      </c>
      <c r="U95" s="67">
        <f t="shared" si="18"/>
        <v>40282.8</v>
      </c>
      <c r="V95" s="67">
        <f t="shared" si="18"/>
        <v>1997.5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81942.20000000001</v>
      </c>
      <c r="AG95" s="71">
        <f>B95+C95-AF95</f>
        <v>4334.199999999997</v>
      </c>
    </row>
    <row r="96" spans="1:33" ht="15.75">
      <c r="A96" s="3" t="s">
        <v>2</v>
      </c>
      <c r="B96" s="22">
        <f aca="true" t="shared" si="19" ref="B96:AD96">B12+B20+B29+B36+B57+B66+B44+B80+B74+B53</f>
        <v>38485.5</v>
      </c>
      <c r="C96" s="22">
        <f t="shared" si="19"/>
        <v>1263.3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28.5</v>
      </c>
      <c r="P96" s="67">
        <f t="shared" si="19"/>
        <v>86</v>
      </c>
      <c r="Q96" s="67">
        <f t="shared" si="19"/>
        <v>0.7</v>
      </c>
      <c r="R96" s="67">
        <f t="shared" si="19"/>
        <v>3238.6</v>
      </c>
      <c r="S96" s="67">
        <f t="shared" si="19"/>
        <v>599.8000000000001</v>
      </c>
      <c r="T96" s="67">
        <f t="shared" si="19"/>
        <v>2295.4</v>
      </c>
      <c r="U96" s="67">
        <f t="shared" si="19"/>
        <v>4484.900000000001</v>
      </c>
      <c r="V96" s="67">
        <f t="shared" si="19"/>
        <v>1224.9</v>
      </c>
      <c r="W96" s="67">
        <f t="shared" si="19"/>
        <v>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16821.899999999998</v>
      </c>
      <c r="AG96" s="71">
        <f>B96+C96-AF96</f>
        <v>22926.900000000005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8190.9</v>
      </c>
      <c r="C98" s="22">
        <f t="shared" si="21"/>
        <v>42.9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24.7</v>
      </c>
      <c r="P98" s="67">
        <f t="shared" si="21"/>
        <v>46.4</v>
      </c>
      <c r="Q98" s="67">
        <f t="shared" si="21"/>
        <v>0</v>
      </c>
      <c r="R98" s="67">
        <f t="shared" si="21"/>
        <v>231.5</v>
      </c>
      <c r="S98" s="67">
        <f t="shared" si="21"/>
        <v>741.1</v>
      </c>
      <c r="T98" s="67">
        <f t="shared" si="21"/>
        <v>480.5</v>
      </c>
      <c r="U98" s="67">
        <f t="shared" si="21"/>
        <v>390.40000000000003</v>
      </c>
      <c r="V98" s="67">
        <f t="shared" si="21"/>
        <v>2.3</v>
      </c>
      <c r="W98" s="67">
        <f t="shared" si="21"/>
        <v>-93.5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4360.4</v>
      </c>
      <c r="AG98" s="71">
        <f>B98+C98-AF98</f>
        <v>3873.3999999999996</v>
      </c>
    </row>
    <row r="99" spans="1:33" ht="15.75">
      <c r="A99" s="3" t="s">
        <v>16</v>
      </c>
      <c r="B99" s="22">
        <f aca="true" t="shared" si="22" ref="B99:X99">B21+B30+B49+B37+B58+B13+B75+B67</f>
        <v>8287.5</v>
      </c>
      <c r="C99" s="22">
        <f t="shared" si="22"/>
        <v>0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265.6</v>
      </c>
      <c r="Q99" s="67">
        <f t="shared" si="22"/>
        <v>0</v>
      </c>
      <c r="R99" s="67">
        <f t="shared" si="22"/>
        <v>1879.3</v>
      </c>
      <c r="S99" s="67">
        <f t="shared" si="22"/>
        <v>380.3</v>
      </c>
      <c r="T99" s="67">
        <f t="shared" si="22"/>
        <v>796.3000000000001</v>
      </c>
      <c r="U99" s="67">
        <f t="shared" si="22"/>
        <v>21.7</v>
      </c>
      <c r="V99" s="67">
        <f t="shared" si="22"/>
        <v>242.3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6127.700000000001</v>
      </c>
      <c r="AG99" s="71">
        <f>B99+C99-AF99</f>
        <v>2159.7999999999993</v>
      </c>
    </row>
    <row r="100" spans="1:33" ht="12.75">
      <c r="A100" s="1" t="s">
        <v>35</v>
      </c>
      <c r="B100" s="2">
        <f aca="true" t="shared" si="24" ref="B100:AD100">B94-B95-B96-B97-B98-B99</f>
        <v>122419.59999999995</v>
      </c>
      <c r="C100" s="2">
        <f t="shared" si="24"/>
        <v>11722.300000000001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962.4999999999989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4311.199999999994</v>
      </c>
      <c r="M100" s="92">
        <f t="shared" si="24"/>
        <v>10983.3</v>
      </c>
      <c r="N100" s="84">
        <f t="shared" si="24"/>
        <v>4651.800000000001</v>
      </c>
      <c r="O100" s="84">
        <f t="shared" si="24"/>
        <v>30461.3</v>
      </c>
      <c r="P100" s="84">
        <f t="shared" si="24"/>
        <v>10268.5</v>
      </c>
      <c r="Q100" s="84">
        <f t="shared" si="24"/>
        <v>2262.8</v>
      </c>
      <c r="R100" s="84">
        <f t="shared" si="24"/>
        <v>607.7000000000005</v>
      </c>
      <c r="S100" s="84">
        <f t="shared" si="24"/>
        <v>2877.7000000000003</v>
      </c>
      <c r="T100" s="84">
        <f t="shared" si="24"/>
        <v>25704.899999999998</v>
      </c>
      <c r="U100" s="84">
        <f t="shared" si="24"/>
        <v>-28540.10000000002</v>
      </c>
      <c r="V100" s="84">
        <f t="shared" si="24"/>
        <v>1812.4999999999998</v>
      </c>
      <c r="W100" s="84">
        <f t="shared" si="24"/>
        <v>11192.199999999999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93637.29999999999</v>
      </c>
      <c r="AG100" s="84">
        <f>AG94-AG95-AG96-AG97-AG98-AG99</f>
        <v>40504.600000000006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X2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7" sqref="AE7: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97" t="s">
        <v>12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1:33" ht="22.5" customHeight="1">
      <c r="A2" s="98" t="s">
        <v>55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1117.2999999999956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940.7000000000007</v>
      </c>
      <c r="AF7" s="54"/>
      <c r="AG7" s="40"/>
    </row>
    <row r="8" spans="1:55" ht="18" customHeight="1">
      <c r="A8" s="47" t="s">
        <v>30</v>
      </c>
      <c r="B8" s="33">
        <f>SUM(E8:AB8)</f>
        <v>118587.70000000001</v>
      </c>
      <c r="C8" s="87">
        <v>73985</v>
      </c>
      <c r="D8" s="59">
        <v>15332.8</v>
      </c>
      <c r="E8" s="60">
        <v>6025.5</v>
      </c>
      <c r="F8" s="61">
        <v>3113.3</v>
      </c>
      <c r="G8" s="61">
        <v>5865.7</v>
      </c>
      <c r="H8" s="61">
        <v>7544.8</v>
      </c>
      <c r="I8" s="61"/>
      <c r="J8" s="61">
        <v>14810.1</v>
      </c>
      <c r="K8" s="62">
        <v>1817.7</v>
      </c>
      <c r="L8" s="61">
        <v>2063.4</v>
      </c>
      <c r="M8" s="62">
        <v>2952.2</v>
      </c>
      <c r="N8" s="61">
        <v>3827</v>
      </c>
      <c r="O8" s="61">
        <v>11375.3</v>
      </c>
      <c r="P8" s="61">
        <v>3461</v>
      </c>
      <c r="Q8" s="61">
        <v>3460.2</v>
      </c>
      <c r="R8" s="61">
        <v>6830.6</v>
      </c>
      <c r="S8" s="63">
        <v>6166.6</v>
      </c>
      <c r="T8" s="63">
        <v>9762.7</v>
      </c>
      <c r="U8" s="61">
        <v>2754.6</v>
      </c>
      <c r="V8" s="61">
        <v>3159.3</v>
      </c>
      <c r="W8" s="61">
        <v>7276</v>
      </c>
      <c r="X8" s="62">
        <v>16321.7</v>
      </c>
      <c r="Y8" s="62"/>
      <c r="Z8" s="62"/>
      <c r="AA8" s="62"/>
      <c r="AB8" s="61"/>
      <c r="AC8" s="64"/>
      <c r="AD8" s="64"/>
      <c r="AE8" s="65">
        <f>SUM(D8:AD8)+C8-AF9+AF16+AF25</f>
        <v>33508.600000000035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217052.4</v>
      </c>
      <c r="C9" s="23">
        <f t="shared" si="0"/>
        <v>73800.6</v>
      </c>
      <c r="D9" s="68">
        <f t="shared" si="0"/>
        <v>0</v>
      </c>
      <c r="E9" s="68">
        <f t="shared" si="0"/>
        <v>21358.3</v>
      </c>
      <c r="F9" s="68">
        <f t="shared" si="0"/>
        <v>3204.4</v>
      </c>
      <c r="G9" s="68">
        <f t="shared" si="0"/>
        <v>5865.6</v>
      </c>
      <c r="H9" s="68">
        <f t="shared" si="0"/>
        <v>8364.300000000001</v>
      </c>
      <c r="I9" s="68">
        <f t="shared" si="0"/>
        <v>0</v>
      </c>
      <c r="J9" s="68">
        <f t="shared" si="0"/>
        <v>15014.099999999999</v>
      </c>
      <c r="K9" s="68">
        <f t="shared" si="0"/>
        <v>28247.40000000001</v>
      </c>
      <c r="L9" s="68">
        <f t="shared" si="0"/>
        <v>11766.099999999999</v>
      </c>
      <c r="M9" s="90">
        <f t="shared" si="0"/>
        <v>2952.1000000000004</v>
      </c>
      <c r="N9" s="68">
        <f t="shared" si="0"/>
        <v>4810.699999999998</v>
      </c>
      <c r="O9" s="68">
        <f t="shared" si="0"/>
        <v>11375.300000000001</v>
      </c>
      <c r="P9" s="68">
        <f t="shared" si="0"/>
        <v>3461</v>
      </c>
      <c r="Q9" s="68">
        <f t="shared" si="0"/>
        <v>3460.3</v>
      </c>
      <c r="R9" s="68">
        <f t="shared" si="0"/>
        <v>1154.3999999999999</v>
      </c>
      <c r="S9" s="68">
        <f t="shared" si="0"/>
        <v>3293.8</v>
      </c>
      <c r="T9" s="68">
        <f t="shared" si="0"/>
        <v>12679.3</v>
      </c>
      <c r="U9" s="68">
        <f t="shared" si="0"/>
        <v>50866.90000000001</v>
      </c>
      <c r="V9" s="68">
        <f t="shared" si="0"/>
        <v>3159.3999999999987</v>
      </c>
      <c r="W9" s="68">
        <f t="shared" si="0"/>
        <v>7276.2</v>
      </c>
      <c r="X9" s="68">
        <f t="shared" si="0"/>
        <v>16321.699999999999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214631.29999999996</v>
      </c>
      <c r="AG9" s="90">
        <f>AG10+AG15+AG24+AG33+AG47+AG52+AG54+AG61+AG62+AG71+AG72+AG76+AG88+AG81+AG83+AG82+AG69+AG89+AG91+AG90+AG70+AG40+AG92</f>
        <v>76221.70000000001</v>
      </c>
      <c r="AH9" s="41"/>
      <c r="AI9" s="41"/>
    </row>
    <row r="10" spans="1:35" ht="15.75">
      <c r="A10" s="4" t="s">
        <v>4</v>
      </c>
      <c r="B10" s="22">
        <f>19083.7+56.6</f>
        <v>19140.3</v>
      </c>
      <c r="C10" s="22">
        <v>2464.5</v>
      </c>
      <c r="D10" s="67"/>
      <c r="E10" s="67">
        <v>203.9</v>
      </c>
      <c r="F10" s="67">
        <v>119.8</v>
      </c>
      <c r="G10" s="67">
        <v>249.5</v>
      </c>
      <c r="H10" s="67">
        <v>28.2</v>
      </c>
      <c r="I10" s="67"/>
      <c r="J10" s="70">
        <v>94.6</v>
      </c>
      <c r="K10" s="67">
        <f>1641.4</f>
        <v>1641.4</v>
      </c>
      <c r="L10" s="67">
        <f>3692.3-8.4</f>
        <v>3683.9</v>
      </c>
      <c r="M10" s="72">
        <v>1284.9</v>
      </c>
      <c r="N10" s="67">
        <v>43.8</v>
      </c>
      <c r="O10" s="71">
        <v>45.6</v>
      </c>
      <c r="P10" s="67">
        <v>7</v>
      </c>
      <c r="Q10" s="67">
        <v>132</v>
      </c>
      <c r="R10" s="67">
        <v>69</v>
      </c>
      <c r="S10" s="72">
        <v>12.9</v>
      </c>
      <c r="T10" s="72">
        <v>1131.2</v>
      </c>
      <c r="U10" s="72">
        <v>2053.4</v>
      </c>
      <c r="V10" s="72">
        <v>6027.2</v>
      </c>
      <c r="W10" s="72">
        <v>894.6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17722.899999999998</v>
      </c>
      <c r="AG10" s="96">
        <f>B10+C10-AF10</f>
        <v>3881.9000000000015</v>
      </c>
      <c r="AI10" s="6"/>
    </row>
    <row r="11" spans="1:35" ht="15.75">
      <c r="A11" s="3" t="s">
        <v>5</v>
      </c>
      <c r="B11" s="22">
        <v>17709.2</v>
      </c>
      <c r="C11" s="22">
        <v>1338.2000000000044</v>
      </c>
      <c r="D11" s="67"/>
      <c r="E11" s="67">
        <v>196.5</v>
      </c>
      <c r="F11" s="67">
        <v>40.7</v>
      </c>
      <c r="G11" s="67">
        <v>134.2</v>
      </c>
      <c r="H11" s="67">
        <v>1.1</v>
      </c>
      <c r="I11" s="67"/>
      <c r="J11" s="72"/>
      <c r="K11" s="67">
        <v>1320.4</v>
      </c>
      <c r="L11" s="67">
        <v>3625.8</v>
      </c>
      <c r="M11" s="72">
        <v>1272.4</v>
      </c>
      <c r="N11" s="67"/>
      <c r="O11" s="71"/>
      <c r="P11" s="67"/>
      <c r="Q11" s="67">
        <v>130.1</v>
      </c>
      <c r="R11" s="67"/>
      <c r="S11" s="72">
        <v>0.9</v>
      </c>
      <c r="T11" s="72">
        <v>1054</v>
      </c>
      <c r="U11" s="72">
        <v>1991.7</v>
      </c>
      <c r="V11" s="72">
        <v>5764.4</v>
      </c>
      <c r="W11" s="72">
        <v>865.1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16397.3</v>
      </c>
      <c r="AG11" s="96">
        <f>B11+C11-AF11</f>
        <v>2650.100000000006</v>
      </c>
      <c r="AI11" s="6"/>
    </row>
    <row r="12" spans="1:35" ht="15.75">
      <c r="A12" s="3" t="s">
        <v>2</v>
      </c>
      <c r="B12" s="29">
        <v>357.7</v>
      </c>
      <c r="C12" s="22">
        <v>299.8</v>
      </c>
      <c r="D12" s="67"/>
      <c r="E12" s="67"/>
      <c r="F12" s="67"/>
      <c r="G12" s="67">
        <v>77</v>
      </c>
      <c r="H12" s="67">
        <v>0.5</v>
      </c>
      <c r="I12" s="67"/>
      <c r="J12" s="72">
        <v>3</v>
      </c>
      <c r="K12" s="67">
        <v>170</v>
      </c>
      <c r="L12" s="67">
        <v>5.8</v>
      </c>
      <c r="M12" s="72"/>
      <c r="N12" s="67"/>
      <c r="O12" s="71">
        <v>23.6</v>
      </c>
      <c r="P12" s="67"/>
      <c r="Q12" s="67"/>
      <c r="R12" s="67"/>
      <c r="S12" s="72"/>
      <c r="T12" s="72">
        <v>4.9</v>
      </c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284.8</v>
      </c>
      <c r="AG12" s="96">
        <f>B12+C12-AF12</f>
        <v>372.7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96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1073.3999999999985</v>
      </c>
      <c r="C14" s="22">
        <v>826.4999999999957</v>
      </c>
      <c r="D14" s="67">
        <f t="shared" si="2"/>
        <v>0</v>
      </c>
      <c r="E14" s="67">
        <f t="shared" si="2"/>
        <v>7.400000000000006</v>
      </c>
      <c r="F14" s="67">
        <f t="shared" si="2"/>
        <v>79.1</v>
      </c>
      <c r="G14" s="67">
        <f t="shared" si="2"/>
        <v>38.30000000000001</v>
      </c>
      <c r="H14" s="67">
        <f t="shared" si="2"/>
        <v>26.599999999999998</v>
      </c>
      <c r="I14" s="67">
        <f t="shared" si="2"/>
        <v>0</v>
      </c>
      <c r="J14" s="67">
        <f t="shared" si="2"/>
        <v>91.6</v>
      </c>
      <c r="K14" s="67">
        <f t="shared" si="2"/>
        <v>151</v>
      </c>
      <c r="L14" s="67">
        <f t="shared" si="2"/>
        <v>52.29999999999991</v>
      </c>
      <c r="M14" s="72">
        <f t="shared" si="2"/>
        <v>12.5</v>
      </c>
      <c r="N14" s="67">
        <f t="shared" si="2"/>
        <v>43.8</v>
      </c>
      <c r="O14" s="67">
        <f t="shared" si="2"/>
        <v>22</v>
      </c>
      <c r="P14" s="67">
        <f t="shared" si="2"/>
        <v>7</v>
      </c>
      <c r="Q14" s="67">
        <f t="shared" si="2"/>
        <v>1.9000000000000057</v>
      </c>
      <c r="R14" s="67">
        <f t="shared" si="2"/>
        <v>69</v>
      </c>
      <c r="S14" s="67">
        <f t="shared" si="2"/>
        <v>12</v>
      </c>
      <c r="T14" s="67">
        <f t="shared" si="2"/>
        <v>72.30000000000004</v>
      </c>
      <c r="U14" s="67">
        <f t="shared" si="2"/>
        <v>61.700000000000045</v>
      </c>
      <c r="V14" s="67">
        <f t="shared" si="2"/>
        <v>262.8000000000002</v>
      </c>
      <c r="W14" s="67">
        <f t="shared" si="2"/>
        <v>29.5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1040.8000000000002</v>
      </c>
      <c r="AG14" s="96">
        <f>AG10-AG11-AG12-AG13</f>
        <v>859.0999999999956</v>
      </c>
      <c r="AI14" s="6"/>
    </row>
    <row r="15" spans="1:35" ht="15" customHeight="1">
      <c r="A15" s="4" t="s">
        <v>6</v>
      </c>
      <c r="B15" s="22">
        <f>83747.1+3.2+21.3</f>
        <v>83771.6</v>
      </c>
      <c r="C15" s="22">
        <v>29823.199999999997</v>
      </c>
      <c r="D15" s="73"/>
      <c r="E15" s="73"/>
      <c r="F15" s="67">
        <f>20+40.7</f>
        <v>60.7</v>
      </c>
      <c r="G15" s="67">
        <v>1437.6</v>
      </c>
      <c r="H15" s="67">
        <v>1886</v>
      </c>
      <c r="I15" s="67"/>
      <c r="J15" s="72">
        <v>1381.2</v>
      </c>
      <c r="K15" s="67">
        <f>13902.2+10550.7</f>
        <v>24452.9</v>
      </c>
      <c r="L15" s="67">
        <v>2976.1</v>
      </c>
      <c r="M15" s="72">
        <v>3278.2</v>
      </c>
      <c r="N15" s="67">
        <v>2126</v>
      </c>
      <c r="O15" s="71">
        <v>3292.8</v>
      </c>
      <c r="P15" s="67">
        <v>2453.5</v>
      </c>
      <c r="Q15" s="71">
        <v>875.9</v>
      </c>
      <c r="R15" s="67">
        <v>807.5</v>
      </c>
      <c r="S15" s="72">
        <v>2786.6</v>
      </c>
      <c r="T15" s="72">
        <v>647.3</v>
      </c>
      <c r="U15" s="72">
        <f>23039.2+12514</f>
        <v>35553.2</v>
      </c>
      <c r="V15" s="72">
        <v>298.2</v>
      </c>
      <c r="W15" s="72">
        <v>-6.2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84307.5</v>
      </c>
      <c r="AG15" s="96">
        <f aca="true" t="shared" si="3" ref="AG15:AG31">B15+C15-AF15</f>
        <v>29287.300000000003</v>
      </c>
      <c r="AI15" s="6"/>
    </row>
    <row r="16" spans="1:35" s="53" customFormat="1" ht="15" customHeight="1">
      <c r="A16" s="51" t="s">
        <v>38</v>
      </c>
      <c r="B16" s="52">
        <f>23019.6+3.2</f>
        <v>23022.8</v>
      </c>
      <c r="C16" s="52">
        <v>125.4</v>
      </c>
      <c r="D16" s="74"/>
      <c r="E16" s="74"/>
      <c r="F16" s="75">
        <v>40.7</v>
      </c>
      <c r="G16" s="75"/>
      <c r="H16" s="75"/>
      <c r="I16" s="75"/>
      <c r="J16" s="76"/>
      <c r="K16" s="75">
        <v>10550.7</v>
      </c>
      <c r="L16" s="75"/>
      <c r="M16" s="76"/>
      <c r="N16" s="75"/>
      <c r="O16" s="77"/>
      <c r="P16" s="75"/>
      <c r="Q16" s="77"/>
      <c r="R16" s="75"/>
      <c r="S16" s="76"/>
      <c r="T16" s="76"/>
      <c r="U16" s="76">
        <v>12514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23105.4</v>
      </c>
      <c r="AG16" s="88">
        <f t="shared" si="3"/>
        <v>42.79999999999927</v>
      </c>
      <c r="AH16" s="57"/>
      <c r="AI16" s="6"/>
    </row>
    <row r="17" spans="1:35" ht="15.75">
      <c r="A17" s="3" t="s">
        <v>5</v>
      </c>
      <c r="B17" s="22">
        <f>58279.96+3.2</f>
        <v>58283.159999999996</v>
      </c>
      <c r="C17" s="22">
        <v>2363.399999999994</v>
      </c>
      <c r="D17" s="67"/>
      <c r="E17" s="67"/>
      <c r="F17" s="67">
        <v>60.7</v>
      </c>
      <c r="G17" s="67"/>
      <c r="H17" s="67"/>
      <c r="I17" s="67"/>
      <c r="J17" s="72"/>
      <c r="K17" s="67">
        <f>13022.4+10550.7</f>
        <v>23573.1</v>
      </c>
      <c r="L17" s="67"/>
      <c r="M17" s="72"/>
      <c r="N17" s="67"/>
      <c r="O17" s="71"/>
      <c r="P17" s="67"/>
      <c r="Q17" s="71"/>
      <c r="R17" s="67"/>
      <c r="S17" s="72"/>
      <c r="T17" s="72"/>
      <c r="U17" s="72">
        <f>21765.1+12514</f>
        <v>34279.1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57912.899999999994</v>
      </c>
      <c r="AG17" s="72">
        <f t="shared" si="3"/>
        <v>2733.659999999996</v>
      </c>
      <c r="AH17" s="6"/>
      <c r="AI17" s="6"/>
    </row>
    <row r="18" spans="1:35" ht="15.75">
      <c r="A18" s="3" t="s">
        <v>3</v>
      </c>
      <c r="B18" s="22">
        <v>35.4</v>
      </c>
      <c r="C18" s="22">
        <v>0</v>
      </c>
      <c r="D18" s="67"/>
      <c r="E18" s="67"/>
      <c r="F18" s="67"/>
      <c r="G18" s="67"/>
      <c r="H18" s="67">
        <v>0.9</v>
      </c>
      <c r="I18" s="67"/>
      <c r="J18" s="72">
        <v>0.3</v>
      </c>
      <c r="K18" s="67"/>
      <c r="L18" s="67"/>
      <c r="M18" s="72"/>
      <c r="N18" s="67"/>
      <c r="O18" s="71"/>
      <c r="P18" s="67"/>
      <c r="Q18" s="71"/>
      <c r="R18" s="67"/>
      <c r="S18" s="72"/>
      <c r="T18" s="72">
        <v>8.7</v>
      </c>
      <c r="U18" s="72">
        <v>9.7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19.599999999999998</v>
      </c>
      <c r="AG18" s="72">
        <f t="shared" si="3"/>
        <v>15.8</v>
      </c>
      <c r="AI18" s="6"/>
    </row>
    <row r="19" spans="1:35" ht="15.75">
      <c r="A19" s="3" t="s">
        <v>1</v>
      </c>
      <c r="B19" s="22">
        <v>4280.4</v>
      </c>
      <c r="C19" s="22">
        <v>3541.3999999999996</v>
      </c>
      <c r="D19" s="67"/>
      <c r="E19" s="67"/>
      <c r="F19" s="67"/>
      <c r="G19" s="67">
        <v>240.3</v>
      </c>
      <c r="H19" s="67">
        <v>427.1</v>
      </c>
      <c r="I19" s="67"/>
      <c r="J19" s="72">
        <v>446.9</v>
      </c>
      <c r="K19" s="67">
        <v>102.1</v>
      </c>
      <c r="L19" s="67">
        <v>46</v>
      </c>
      <c r="M19" s="72">
        <v>154.6</v>
      </c>
      <c r="N19" s="67">
        <v>766.9</v>
      </c>
      <c r="O19" s="71"/>
      <c r="P19" s="67">
        <v>945</v>
      </c>
      <c r="Q19" s="71">
        <v>400</v>
      </c>
      <c r="R19" s="67">
        <v>1</v>
      </c>
      <c r="S19" s="72">
        <v>1121.4</v>
      </c>
      <c r="T19" s="72">
        <v>59</v>
      </c>
      <c r="U19" s="72">
        <v>682.9</v>
      </c>
      <c r="V19" s="72">
        <v>18.7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5411.9</v>
      </c>
      <c r="AG19" s="72">
        <f t="shared" si="3"/>
        <v>2409.8999999999996</v>
      </c>
      <c r="AI19" s="6"/>
    </row>
    <row r="20" spans="1:35" ht="15.75">
      <c r="A20" s="3" t="s">
        <v>2</v>
      </c>
      <c r="B20" s="22">
        <v>16303.4</v>
      </c>
      <c r="C20" s="22">
        <v>20438.6</v>
      </c>
      <c r="D20" s="67"/>
      <c r="E20" s="67"/>
      <c r="F20" s="67"/>
      <c r="G20" s="67">
        <v>688.8</v>
      </c>
      <c r="H20" s="67">
        <v>1267.7</v>
      </c>
      <c r="I20" s="67"/>
      <c r="J20" s="72">
        <v>920.8</v>
      </c>
      <c r="K20" s="67">
        <v>531.8</v>
      </c>
      <c r="L20" s="67">
        <v>2870.4</v>
      </c>
      <c r="M20" s="72">
        <v>2522</v>
      </c>
      <c r="N20" s="67">
        <f>1076.6+267.2</f>
        <v>1343.8</v>
      </c>
      <c r="O20" s="71">
        <v>3290.1</v>
      </c>
      <c r="P20" s="67">
        <v>1467.5</v>
      </c>
      <c r="Q20" s="71">
        <v>255.7</v>
      </c>
      <c r="R20" s="67">
        <v>697.1</v>
      </c>
      <c r="S20" s="72">
        <v>813.5</v>
      </c>
      <c r="T20" s="72">
        <v>565.4</v>
      </c>
      <c r="U20" s="72">
        <v>107.9</v>
      </c>
      <c r="V20" s="72">
        <v>63.1</v>
      </c>
      <c r="W20" s="72">
        <v>-5.9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17399.7</v>
      </c>
      <c r="AG20" s="72">
        <f t="shared" si="3"/>
        <v>19342.3</v>
      </c>
      <c r="AI20" s="6"/>
    </row>
    <row r="21" spans="1:35" ht="15.75">
      <c r="A21" s="3" t="s">
        <v>16</v>
      </c>
      <c r="B21" s="22">
        <v>1194.5</v>
      </c>
      <c r="C21" s="22">
        <v>157.20000000000005</v>
      </c>
      <c r="D21" s="67"/>
      <c r="E21" s="67"/>
      <c r="F21" s="67"/>
      <c r="G21" s="67"/>
      <c r="H21" s="67"/>
      <c r="I21" s="67"/>
      <c r="J21" s="72"/>
      <c r="K21" s="67"/>
      <c r="L21" s="67"/>
      <c r="M21" s="72">
        <v>376.7</v>
      </c>
      <c r="N21" s="67"/>
      <c r="O21" s="71"/>
      <c r="P21" s="67"/>
      <c r="Q21" s="71"/>
      <c r="R21" s="67"/>
      <c r="S21" s="72">
        <v>419.7</v>
      </c>
      <c r="T21" s="72"/>
      <c r="U21" s="67">
        <v>11.5</v>
      </c>
      <c r="V21" s="67">
        <v>196.3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1004.2</v>
      </c>
      <c r="AG21" s="72">
        <f t="shared" si="3"/>
        <v>347.5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3674.740000000007</v>
      </c>
      <c r="C23" s="22">
        <v>3537.000000000011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0</v>
      </c>
      <c r="G23" s="67">
        <f t="shared" si="4"/>
        <v>508.5</v>
      </c>
      <c r="H23" s="67">
        <f t="shared" si="4"/>
        <v>190.29999999999995</v>
      </c>
      <c r="I23" s="67">
        <f t="shared" si="4"/>
        <v>0</v>
      </c>
      <c r="J23" s="67">
        <f t="shared" si="4"/>
        <v>13.20000000000016</v>
      </c>
      <c r="K23" s="67">
        <f t="shared" si="4"/>
        <v>245.90000000000293</v>
      </c>
      <c r="L23" s="67">
        <f t="shared" si="4"/>
        <v>59.69999999999982</v>
      </c>
      <c r="M23" s="72">
        <f t="shared" si="4"/>
        <v>224.89999999999992</v>
      </c>
      <c r="N23" s="67">
        <f t="shared" si="4"/>
        <v>15.299999999999955</v>
      </c>
      <c r="O23" s="67">
        <f t="shared" si="4"/>
        <v>2.700000000000273</v>
      </c>
      <c r="P23" s="67">
        <f t="shared" si="4"/>
        <v>41</v>
      </c>
      <c r="Q23" s="67">
        <f t="shared" si="4"/>
        <v>220.2</v>
      </c>
      <c r="R23" s="67">
        <f t="shared" si="4"/>
        <v>109.39999999999998</v>
      </c>
      <c r="S23" s="67">
        <f t="shared" si="4"/>
        <v>431.99999999999983</v>
      </c>
      <c r="T23" s="67">
        <f t="shared" si="4"/>
        <v>14.199999999999932</v>
      </c>
      <c r="U23" s="67">
        <f t="shared" si="4"/>
        <v>462.09999999999854</v>
      </c>
      <c r="V23" s="67">
        <f t="shared" si="4"/>
        <v>20.099999999999994</v>
      </c>
      <c r="W23" s="67">
        <f t="shared" si="4"/>
        <v>-0.2999999999999998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2559.200000000001</v>
      </c>
      <c r="AG23" s="72">
        <f t="shared" si="3"/>
        <v>4652.540000000017</v>
      </c>
      <c r="AI23" s="6"/>
    </row>
    <row r="24" spans="1:35" ht="15" customHeight="1">
      <c r="A24" s="4" t="s">
        <v>7</v>
      </c>
      <c r="B24" s="22">
        <f>41417.8-99.1-467-180</f>
        <v>40671.700000000004</v>
      </c>
      <c r="C24" s="22">
        <v>7848.9000000000015</v>
      </c>
      <c r="D24" s="67"/>
      <c r="E24" s="67"/>
      <c r="F24" s="67">
        <v>50.4</v>
      </c>
      <c r="G24" s="67"/>
      <c r="H24" s="67">
        <v>1560.6</v>
      </c>
      <c r="I24" s="67"/>
      <c r="J24" s="72">
        <v>365</v>
      </c>
      <c r="K24" s="67">
        <f>382.7+21.5</f>
        <v>404.2</v>
      </c>
      <c r="L24" s="67">
        <f>377.5+9702.8</f>
        <v>10080.3</v>
      </c>
      <c r="M24" s="72"/>
      <c r="N24" s="67">
        <f>6002.3+983.7</f>
        <v>6986</v>
      </c>
      <c r="O24" s="71"/>
      <c r="P24" s="67">
        <v>102.6</v>
      </c>
      <c r="Q24" s="71">
        <v>170.9</v>
      </c>
      <c r="R24" s="71"/>
      <c r="S24" s="72">
        <v>1929.3</v>
      </c>
      <c r="T24" s="72">
        <f>5928.2+3314.6</f>
        <v>9242.8</v>
      </c>
      <c r="U24" s="72">
        <f>5249.2+585.3+45.6</f>
        <v>5880.1</v>
      </c>
      <c r="V24" s="72">
        <v>84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36856.2</v>
      </c>
      <c r="AG24" s="72">
        <f t="shared" si="3"/>
        <v>11664.400000000009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90.79999999999927</v>
      </c>
      <c r="D25" s="75"/>
      <c r="E25" s="75"/>
      <c r="F25" s="75">
        <v>50.4</v>
      </c>
      <c r="G25" s="75"/>
      <c r="H25" s="75">
        <v>1023.5</v>
      </c>
      <c r="I25" s="75"/>
      <c r="J25" s="76"/>
      <c r="K25" s="75">
        <v>21.4</v>
      </c>
      <c r="L25" s="75">
        <v>9702.8</v>
      </c>
      <c r="M25" s="76"/>
      <c r="N25" s="75">
        <v>983.7</v>
      </c>
      <c r="O25" s="77"/>
      <c r="P25" s="75"/>
      <c r="Q25" s="77"/>
      <c r="R25" s="77"/>
      <c r="S25" s="76">
        <v>1447.3</v>
      </c>
      <c r="T25" s="76">
        <v>3314.6</v>
      </c>
      <c r="U25" s="76">
        <v>585.3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17128.999999999996</v>
      </c>
      <c r="AG25" s="88">
        <f t="shared" si="3"/>
        <v>0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90.8</v>
      </c>
      <c r="C30" s="22">
        <v>90.9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181.7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40580.9</v>
      </c>
      <c r="C32" s="22">
        <v>7758.000000000002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50.4</v>
      </c>
      <c r="G32" s="67">
        <f t="shared" si="5"/>
        <v>0</v>
      </c>
      <c r="H32" s="67">
        <f t="shared" si="5"/>
        <v>1560.6</v>
      </c>
      <c r="I32" s="67">
        <f t="shared" si="5"/>
        <v>0</v>
      </c>
      <c r="J32" s="67">
        <f t="shared" si="5"/>
        <v>365</v>
      </c>
      <c r="K32" s="67">
        <f t="shared" si="5"/>
        <v>404.2</v>
      </c>
      <c r="L32" s="67">
        <f t="shared" si="5"/>
        <v>10080.3</v>
      </c>
      <c r="M32" s="72">
        <f t="shared" si="5"/>
        <v>0</v>
      </c>
      <c r="N32" s="67">
        <f t="shared" si="5"/>
        <v>6986</v>
      </c>
      <c r="O32" s="67">
        <f t="shared" si="5"/>
        <v>0</v>
      </c>
      <c r="P32" s="67">
        <f t="shared" si="5"/>
        <v>102.6</v>
      </c>
      <c r="Q32" s="67">
        <f t="shared" si="5"/>
        <v>170.9</v>
      </c>
      <c r="R32" s="67">
        <f t="shared" si="5"/>
        <v>0</v>
      </c>
      <c r="S32" s="67">
        <f t="shared" si="5"/>
        <v>1929.3</v>
      </c>
      <c r="T32" s="67">
        <f t="shared" si="5"/>
        <v>9242.8</v>
      </c>
      <c r="U32" s="67">
        <f t="shared" si="5"/>
        <v>5880.1</v>
      </c>
      <c r="V32" s="67">
        <f t="shared" si="5"/>
        <v>84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36856.2</v>
      </c>
      <c r="AG32" s="72">
        <f>AG24-AG30</f>
        <v>11482.700000000008</v>
      </c>
      <c r="AI32" s="6"/>
    </row>
    <row r="33" spans="1:35" ht="15" customHeight="1">
      <c r="A33" s="4" t="s">
        <v>8</v>
      </c>
      <c r="B33" s="22">
        <v>392.8</v>
      </c>
      <c r="C33" s="22">
        <v>192.80000000000007</v>
      </c>
      <c r="D33" s="67"/>
      <c r="E33" s="67"/>
      <c r="F33" s="67"/>
      <c r="G33" s="67"/>
      <c r="H33" s="67"/>
      <c r="I33" s="67"/>
      <c r="J33" s="72"/>
      <c r="K33" s="67">
        <v>100.7</v>
      </c>
      <c r="L33" s="67"/>
      <c r="M33" s="72"/>
      <c r="N33" s="67">
        <v>125</v>
      </c>
      <c r="O33" s="71"/>
      <c r="P33" s="67"/>
      <c r="Q33" s="71"/>
      <c r="R33" s="67"/>
      <c r="S33" s="72">
        <v>0.6</v>
      </c>
      <c r="T33" s="72">
        <v>0.8</v>
      </c>
      <c r="U33" s="72">
        <v>205.3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432.4</v>
      </c>
      <c r="AG33" s="72">
        <f aca="true" t="shared" si="6" ref="AG33:AG38">B33+C33-AF33</f>
        <v>153.20000000000016</v>
      </c>
      <c r="AI33" s="6"/>
    </row>
    <row r="34" spans="1:35" ht="15.75">
      <c r="A34" s="3" t="s">
        <v>5</v>
      </c>
      <c r="B34" s="22">
        <v>299.5</v>
      </c>
      <c r="C34" s="22">
        <v>23.899999999999977</v>
      </c>
      <c r="D34" s="67"/>
      <c r="E34" s="67"/>
      <c r="F34" s="67"/>
      <c r="G34" s="67"/>
      <c r="H34" s="67"/>
      <c r="I34" s="67"/>
      <c r="J34" s="72"/>
      <c r="K34" s="67">
        <v>95.6</v>
      </c>
      <c r="L34" s="67"/>
      <c r="M34" s="72"/>
      <c r="N34" s="67"/>
      <c r="O34" s="67"/>
      <c r="P34" s="67"/>
      <c r="Q34" s="71"/>
      <c r="R34" s="67"/>
      <c r="S34" s="72"/>
      <c r="T34" s="72"/>
      <c r="U34" s="72">
        <v>203.1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298.7</v>
      </c>
      <c r="AG34" s="72">
        <f t="shared" si="6"/>
        <v>24.69999999999999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79.9</v>
      </c>
      <c r="C36" s="22">
        <v>117.1</v>
      </c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>
        <v>118.8</v>
      </c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118.8</v>
      </c>
      <c r="AG36" s="72">
        <f t="shared" si="6"/>
        <v>78.2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13.400000000000006</v>
      </c>
      <c r="C39" s="22">
        <v>51.8000000000001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5.1000000000000085</v>
      </c>
      <c r="L39" s="67">
        <f t="shared" si="7"/>
        <v>0</v>
      </c>
      <c r="M39" s="72">
        <f t="shared" si="7"/>
        <v>0</v>
      </c>
      <c r="N39" s="67">
        <f t="shared" si="7"/>
        <v>6.200000000000003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0.6</v>
      </c>
      <c r="T39" s="67">
        <f t="shared" si="7"/>
        <v>0.8</v>
      </c>
      <c r="U39" s="67">
        <f t="shared" si="7"/>
        <v>2.200000000000017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14.900000000000029</v>
      </c>
      <c r="AG39" s="72">
        <f>AG33-AG34-AG36-AG38-AG35-AG37</f>
        <v>50.30000000000017</v>
      </c>
      <c r="AI39" s="6"/>
    </row>
    <row r="40" spans="1:35" ht="15" customHeight="1">
      <c r="A40" s="4" t="s">
        <v>29</v>
      </c>
      <c r="B40" s="22">
        <v>1540.7</v>
      </c>
      <c r="C40" s="22">
        <v>121.79999999999995</v>
      </c>
      <c r="D40" s="67"/>
      <c r="E40" s="67"/>
      <c r="F40" s="67"/>
      <c r="G40" s="67">
        <v>71.3</v>
      </c>
      <c r="H40" s="67"/>
      <c r="I40" s="67"/>
      <c r="J40" s="72">
        <v>15.4</v>
      </c>
      <c r="K40" s="67"/>
      <c r="L40" s="67">
        <v>390.3</v>
      </c>
      <c r="M40" s="72">
        <v>13.8</v>
      </c>
      <c r="N40" s="67"/>
      <c r="O40" s="71">
        <v>56.1</v>
      </c>
      <c r="P40" s="67"/>
      <c r="Q40" s="71"/>
      <c r="R40" s="71"/>
      <c r="S40" s="72"/>
      <c r="T40" s="72"/>
      <c r="U40" s="72">
        <v>905.8</v>
      </c>
      <c r="V40" s="72">
        <v>4.8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1457.4999999999998</v>
      </c>
      <c r="AG40" s="72">
        <f aca="true" t="shared" si="8" ref="AG40:AG45">B40+C40-AF40</f>
        <v>205.00000000000023</v>
      </c>
      <c r="AI40" s="6"/>
    </row>
    <row r="41" spans="1:35" ht="15.75">
      <c r="A41" s="3" t="s">
        <v>5</v>
      </c>
      <c r="B41" s="22">
        <v>1297.1</v>
      </c>
      <c r="C41" s="22">
        <v>77.69999999999982</v>
      </c>
      <c r="D41" s="67"/>
      <c r="E41" s="67"/>
      <c r="F41" s="67"/>
      <c r="G41" s="67"/>
      <c r="H41" s="67"/>
      <c r="I41" s="67"/>
      <c r="J41" s="72"/>
      <c r="K41" s="67"/>
      <c r="L41" s="67">
        <v>377.1</v>
      </c>
      <c r="M41" s="72"/>
      <c r="N41" s="67"/>
      <c r="O41" s="71"/>
      <c r="P41" s="67"/>
      <c r="Q41" s="67"/>
      <c r="R41" s="67"/>
      <c r="S41" s="72"/>
      <c r="T41" s="72"/>
      <c r="U41" s="72">
        <v>896.5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1273.6</v>
      </c>
      <c r="AG41" s="72">
        <f t="shared" si="8"/>
        <v>101.19999999999982</v>
      </c>
      <c r="AH41" s="6"/>
      <c r="AI41" s="6"/>
    </row>
    <row r="42" spans="1:35" ht="15.75">
      <c r="A42" s="3" t="s">
        <v>3</v>
      </c>
      <c r="B42" s="22">
        <v>0.9</v>
      </c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0.9</v>
      </c>
      <c r="AI42" s="6"/>
    </row>
    <row r="43" spans="1:35" ht="15.75">
      <c r="A43" s="3" t="s">
        <v>1</v>
      </c>
      <c r="B43" s="22">
        <v>10.3</v>
      </c>
      <c r="C43" s="22">
        <v>2.5</v>
      </c>
      <c r="D43" s="67"/>
      <c r="E43" s="67"/>
      <c r="F43" s="67"/>
      <c r="G43" s="67"/>
      <c r="H43" s="67"/>
      <c r="I43" s="67"/>
      <c r="J43" s="72"/>
      <c r="K43" s="67"/>
      <c r="L43" s="67">
        <v>10.5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10.5</v>
      </c>
      <c r="AG43" s="72">
        <f t="shared" si="8"/>
        <v>2.3000000000000007</v>
      </c>
      <c r="AI43" s="6"/>
    </row>
    <row r="44" spans="1:35" ht="15.75">
      <c r="A44" s="3" t="s">
        <v>2</v>
      </c>
      <c r="B44" s="22">
        <v>197.3</v>
      </c>
      <c r="C44" s="22">
        <v>37.00000000000003</v>
      </c>
      <c r="D44" s="67"/>
      <c r="E44" s="67"/>
      <c r="F44" s="67"/>
      <c r="G44" s="67">
        <v>65.8</v>
      </c>
      <c r="H44" s="67"/>
      <c r="I44" s="67"/>
      <c r="J44" s="72">
        <v>15.4</v>
      </c>
      <c r="K44" s="67"/>
      <c r="L44" s="67">
        <v>2.2</v>
      </c>
      <c r="M44" s="72"/>
      <c r="N44" s="67"/>
      <c r="O44" s="71">
        <v>56.1</v>
      </c>
      <c r="P44" s="67"/>
      <c r="Q44" s="67"/>
      <c r="R44" s="67"/>
      <c r="S44" s="72"/>
      <c r="T44" s="72"/>
      <c r="U44" s="72">
        <v>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142.2</v>
      </c>
      <c r="AG44" s="72">
        <f t="shared" si="8"/>
        <v>92.10000000000005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35.10000000000011</v>
      </c>
      <c r="C46" s="22">
        <v>4.600000000000108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5.5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0.49999999999998845</v>
      </c>
      <c r="M46" s="72">
        <f t="shared" si="9"/>
        <v>13.8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6.599999999999954</v>
      </c>
      <c r="V46" s="67">
        <f t="shared" si="9"/>
        <v>4.8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31.199999999999946</v>
      </c>
      <c r="AG46" s="72">
        <f>AG40-AG41-AG42-AG43-AG44-AG45</f>
        <v>8.500000000000355</v>
      </c>
      <c r="AI46" s="6"/>
    </row>
    <row r="47" spans="1:35" ht="17.25" customHeight="1">
      <c r="A47" s="4" t="s">
        <v>43</v>
      </c>
      <c r="B47" s="29">
        <f>6488.7+7.6+1.8</f>
        <v>6498.1</v>
      </c>
      <c r="C47" s="22">
        <v>2565.699999999999</v>
      </c>
      <c r="D47" s="67"/>
      <c r="E47" s="79"/>
      <c r="F47" s="79"/>
      <c r="G47" s="79">
        <v>592.9</v>
      </c>
      <c r="H47" s="79">
        <v>250.5</v>
      </c>
      <c r="I47" s="79"/>
      <c r="J47" s="80">
        <v>1840.9</v>
      </c>
      <c r="K47" s="79">
        <v>85.5</v>
      </c>
      <c r="L47" s="79"/>
      <c r="M47" s="80"/>
      <c r="N47" s="79">
        <v>148.3</v>
      </c>
      <c r="O47" s="81">
        <v>534.2</v>
      </c>
      <c r="P47" s="79"/>
      <c r="Q47" s="79">
        <v>1861</v>
      </c>
      <c r="R47" s="79">
        <v>58.9</v>
      </c>
      <c r="S47" s="80"/>
      <c r="T47" s="80">
        <v>713.5</v>
      </c>
      <c r="U47" s="79">
        <v>44.9</v>
      </c>
      <c r="V47" s="79">
        <v>41.9</v>
      </c>
      <c r="W47" s="79">
        <v>28.7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6201.199999999999</v>
      </c>
      <c r="AG47" s="72">
        <f>B47+C47-AF47</f>
        <v>2862.6000000000004</v>
      </c>
      <c r="AI47" s="6"/>
    </row>
    <row r="48" spans="1:35" ht="15.75">
      <c r="A48" s="3" t="s">
        <v>5</v>
      </c>
      <c r="B48" s="22">
        <v>54.4</v>
      </c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54.4</v>
      </c>
      <c r="AI48" s="6"/>
    </row>
    <row r="49" spans="1:35" ht="15.75">
      <c r="A49" s="3" t="s">
        <v>16</v>
      </c>
      <c r="B49" s="22">
        <f>5747.4+7.6+220.3</f>
        <v>5975.3</v>
      </c>
      <c r="C49" s="22">
        <v>1525.8999999999996</v>
      </c>
      <c r="D49" s="67"/>
      <c r="E49" s="67"/>
      <c r="F49" s="67"/>
      <c r="G49" s="67">
        <v>582.9</v>
      </c>
      <c r="H49" s="67">
        <v>250.5</v>
      </c>
      <c r="I49" s="67"/>
      <c r="J49" s="72">
        <v>1833.3</v>
      </c>
      <c r="K49" s="67">
        <v>55</v>
      </c>
      <c r="L49" s="67"/>
      <c r="M49" s="72"/>
      <c r="N49" s="67">
        <v>120.2</v>
      </c>
      <c r="O49" s="71">
        <v>529.4</v>
      </c>
      <c r="P49" s="67"/>
      <c r="Q49" s="67">
        <v>1861</v>
      </c>
      <c r="R49" s="67">
        <v>47.8</v>
      </c>
      <c r="S49" s="72"/>
      <c r="T49" s="72">
        <v>713.5</v>
      </c>
      <c r="U49" s="67"/>
      <c r="V49" s="67">
        <f>35.2+1.8</f>
        <v>37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6030.599999999999</v>
      </c>
      <c r="AG49" s="72">
        <f>B49+C49-AF49</f>
        <v>1470.6000000000004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468.40000000000055</v>
      </c>
      <c r="C51" s="22">
        <v>1039.7999999999993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10</v>
      </c>
      <c r="H51" s="67">
        <f t="shared" si="10"/>
        <v>0</v>
      </c>
      <c r="I51" s="67">
        <f t="shared" si="10"/>
        <v>0</v>
      </c>
      <c r="J51" s="67">
        <f t="shared" si="10"/>
        <v>7.600000000000136</v>
      </c>
      <c r="K51" s="67">
        <f t="shared" si="10"/>
        <v>30.5</v>
      </c>
      <c r="L51" s="67">
        <f t="shared" si="10"/>
        <v>0</v>
      </c>
      <c r="M51" s="72">
        <f t="shared" si="10"/>
        <v>0</v>
      </c>
      <c r="N51" s="67">
        <f t="shared" si="10"/>
        <v>28.10000000000001</v>
      </c>
      <c r="O51" s="67">
        <f t="shared" si="10"/>
        <v>4.800000000000068</v>
      </c>
      <c r="P51" s="67">
        <f t="shared" si="10"/>
        <v>0</v>
      </c>
      <c r="Q51" s="67">
        <f t="shared" si="10"/>
        <v>0</v>
      </c>
      <c r="R51" s="67">
        <f t="shared" si="10"/>
        <v>11.100000000000001</v>
      </c>
      <c r="S51" s="67">
        <f t="shared" si="10"/>
        <v>0</v>
      </c>
      <c r="T51" s="67">
        <f t="shared" si="10"/>
        <v>0</v>
      </c>
      <c r="U51" s="67">
        <f t="shared" si="10"/>
        <v>44.9</v>
      </c>
      <c r="V51" s="67">
        <f t="shared" si="10"/>
        <v>4.899999999999999</v>
      </c>
      <c r="W51" s="67">
        <f t="shared" si="10"/>
        <v>28.7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170.60000000000022</v>
      </c>
      <c r="AG51" s="72">
        <f>AG47-AG49-AG48</f>
        <v>1337.6</v>
      </c>
      <c r="AI51" s="6"/>
    </row>
    <row r="52" spans="1:35" ht="15" customHeight="1">
      <c r="A52" s="4" t="s">
        <v>0</v>
      </c>
      <c r="B52" s="22">
        <f>9469.6-56.6+5204.9</f>
        <v>14617.9</v>
      </c>
      <c r="C52" s="22">
        <v>2815.9999999999995</v>
      </c>
      <c r="D52" s="67"/>
      <c r="E52" s="67"/>
      <c r="F52" s="67"/>
      <c r="G52" s="67">
        <v>121.6</v>
      </c>
      <c r="H52" s="67">
        <v>525.1</v>
      </c>
      <c r="I52" s="67"/>
      <c r="J52" s="72">
        <v>495.6</v>
      </c>
      <c r="K52" s="67">
        <v>452.5</v>
      </c>
      <c r="L52" s="67">
        <v>67.7</v>
      </c>
      <c r="M52" s="72">
        <v>766.7</v>
      </c>
      <c r="N52" s="67">
        <v>27.8</v>
      </c>
      <c r="O52" s="71">
        <v>2611.4</v>
      </c>
      <c r="P52" s="67"/>
      <c r="Q52" s="67">
        <v>110.1</v>
      </c>
      <c r="R52" s="67">
        <v>3.8</v>
      </c>
      <c r="S52" s="72">
        <v>3.3</v>
      </c>
      <c r="T52" s="72">
        <v>441.8</v>
      </c>
      <c r="U52" s="72">
        <v>656.5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6283.9000000000015</v>
      </c>
      <c r="AG52" s="72">
        <f aca="true" t="shared" si="11" ref="AG52:AG59">B52+C52-AF52</f>
        <v>11149.999999999996</v>
      </c>
      <c r="AI52" s="6"/>
    </row>
    <row r="53" spans="1:35" ht="15" customHeight="1">
      <c r="A53" s="3" t="s">
        <v>2</v>
      </c>
      <c r="B53" s="22">
        <f>1894.6+200</f>
        <v>2094.6</v>
      </c>
      <c r="C53" s="22">
        <v>1418</v>
      </c>
      <c r="D53" s="67"/>
      <c r="E53" s="67"/>
      <c r="F53" s="67"/>
      <c r="G53" s="67">
        <v>1.6</v>
      </c>
      <c r="H53" s="67"/>
      <c r="I53" s="67"/>
      <c r="J53" s="72"/>
      <c r="K53" s="67"/>
      <c r="L53" s="67"/>
      <c r="M53" s="72"/>
      <c r="N53" s="67"/>
      <c r="O53" s="71">
        <v>2603.8</v>
      </c>
      <c r="P53" s="67"/>
      <c r="Q53" s="67"/>
      <c r="R53" s="67">
        <v>3.8</v>
      </c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2609.2000000000003</v>
      </c>
      <c r="AG53" s="72">
        <f t="shared" si="11"/>
        <v>903.3999999999996</v>
      </c>
      <c r="AI53" s="6"/>
    </row>
    <row r="54" spans="1:35" ht="15" customHeight="1">
      <c r="A54" s="4" t="s">
        <v>9</v>
      </c>
      <c r="B54" s="36">
        <v>2665</v>
      </c>
      <c r="C54" s="22">
        <v>732.3000000000002</v>
      </c>
      <c r="D54" s="67"/>
      <c r="E54" s="67"/>
      <c r="F54" s="67"/>
      <c r="G54" s="67">
        <v>111.5</v>
      </c>
      <c r="H54" s="67"/>
      <c r="I54" s="67"/>
      <c r="J54" s="72">
        <v>189.8</v>
      </c>
      <c r="K54" s="67">
        <v>1.9</v>
      </c>
      <c r="L54" s="67">
        <v>691.5</v>
      </c>
      <c r="M54" s="72">
        <v>343.2</v>
      </c>
      <c r="N54" s="67">
        <v>7.5</v>
      </c>
      <c r="O54" s="71">
        <v>137</v>
      </c>
      <c r="P54" s="67"/>
      <c r="Q54" s="71">
        <v>2.4</v>
      </c>
      <c r="R54" s="67">
        <v>142.9</v>
      </c>
      <c r="S54" s="72">
        <v>7.4</v>
      </c>
      <c r="T54" s="72"/>
      <c r="U54" s="72">
        <v>11.4</v>
      </c>
      <c r="V54" s="72">
        <v>645.7</v>
      </c>
      <c r="W54" s="72">
        <v>261.3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2553.500000000001</v>
      </c>
      <c r="AG54" s="72">
        <f t="shared" si="11"/>
        <v>843.7999999999993</v>
      </c>
      <c r="AH54" s="6"/>
      <c r="AI54" s="6"/>
    </row>
    <row r="55" spans="1:35" ht="15.75">
      <c r="A55" s="3" t="s">
        <v>5</v>
      </c>
      <c r="B55" s="22">
        <v>1185</v>
      </c>
      <c r="C55" s="22">
        <v>185.39999999999986</v>
      </c>
      <c r="D55" s="67"/>
      <c r="E55" s="67"/>
      <c r="F55" s="67"/>
      <c r="G55" s="67"/>
      <c r="H55" s="67"/>
      <c r="I55" s="67"/>
      <c r="J55" s="72"/>
      <c r="K55" s="67"/>
      <c r="L55" s="67">
        <v>494.6</v>
      </c>
      <c r="M55" s="72"/>
      <c r="N55" s="67"/>
      <c r="O55" s="71"/>
      <c r="P55" s="67"/>
      <c r="Q55" s="71"/>
      <c r="R55" s="67"/>
      <c r="S55" s="72"/>
      <c r="T55" s="72"/>
      <c r="U55" s="72">
        <v>11.4</v>
      </c>
      <c r="V55" s="72">
        <v>607.6</v>
      </c>
      <c r="W55" s="72">
        <v>26.4</v>
      </c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1140</v>
      </c>
      <c r="AG55" s="72">
        <f t="shared" si="11"/>
        <v>230.39999999999986</v>
      </c>
      <c r="AH55" s="6"/>
      <c r="AI55" s="6"/>
    </row>
    <row r="56" spans="1:35" ht="15" customHeight="1">
      <c r="A56" s="3" t="s">
        <v>1</v>
      </c>
      <c r="B56" s="22">
        <v>7.5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>
        <v>7.5</v>
      </c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7.5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384.6</v>
      </c>
      <c r="C57" s="22">
        <v>199.59999999999997</v>
      </c>
      <c r="D57" s="67"/>
      <c r="E57" s="67"/>
      <c r="F57" s="67"/>
      <c r="G57" s="67"/>
      <c r="H57" s="67"/>
      <c r="I57" s="67"/>
      <c r="J57" s="72"/>
      <c r="K57" s="67"/>
      <c r="L57" s="67">
        <v>98.5</v>
      </c>
      <c r="M57" s="72"/>
      <c r="N57" s="67"/>
      <c r="O57" s="71"/>
      <c r="P57" s="67"/>
      <c r="Q57" s="71"/>
      <c r="R57" s="67">
        <v>76.9</v>
      </c>
      <c r="S57" s="72">
        <v>0.5</v>
      </c>
      <c r="T57" s="72"/>
      <c r="U57" s="72"/>
      <c r="V57" s="72"/>
      <c r="W57" s="72">
        <v>2.2</v>
      </c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178.1</v>
      </c>
      <c r="AG57" s="72">
        <f t="shared" si="11"/>
        <v>406.1</v>
      </c>
      <c r="AI57" s="6"/>
    </row>
    <row r="58" spans="1:35" ht="15.75">
      <c r="A58" s="3" t="s">
        <v>16</v>
      </c>
      <c r="B58" s="29">
        <f>17+8.7</f>
        <v>25.7</v>
      </c>
      <c r="C58" s="22">
        <v>28.9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>
        <v>45.9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45.9</v>
      </c>
      <c r="AG58" s="72">
        <f t="shared" si="11"/>
        <v>8.699999999999996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1062.2</v>
      </c>
      <c r="C60" s="22">
        <v>318.4000000000004</v>
      </c>
      <c r="D60" s="67">
        <f t="shared" si="12"/>
        <v>0</v>
      </c>
      <c r="E60" s="67">
        <f t="shared" si="12"/>
        <v>0</v>
      </c>
      <c r="F60" s="67">
        <f t="shared" si="12"/>
        <v>0</v>
      </c>
      <c r="G60" s="67">
        <f t="shared" si="12"/>
        <v>111.5</v>
      </c>
      <c r="H60" s="67">
        <f t="shared" si="12"/>
        <v>0</v>
      </c>
      <c r="I60" s="67">
        <f t="shared" si="12"/>
        <v>0</v>
      </c>
      <c r="J60" s="67">
        <f t="shared" si="12"/>
        <v>189.8</v>
      </c>
      <c r="K60" s="67">
        <f t="shared" si="12"/>
        <v>1.9</v>
      </c>
      <c r="L60" s="67">
        <f t="shared" si="12"/>
        <v>98.39999999999998</v>
      </c>
      <c r="M60" s="72">
        <f t="shared" si="12"/>
        <v>343.2</v>
      </c>
      <c r="N60" s="67">
        <f t="shared" si="12"/>
        <v>0</v>
      </c>
      <c r="O60" s="67">
        <f t="shared" si="12"/>
        <v>137</v>
      </c>
      <c r="P60" s="67">
        <f t="shared" si="12"/>
        <v>0</v>
      </c>
      <c r="Q60" s="67">
        <f t="shared" si="12"/>
        <v>2.4</v>
      </c>
      <c r="R60" s="67">
        <f t="shared" si="12"/>
        <v>20.1</v>
      </c>
      <c r="S60" s="67">
        <f t="shared" si="12"/>
        <v>6.9</v>
      </c>
      <c r="T60" s="67">
        <f t="shared" si="12"/>
        <v>0</v>
      </c>
      <c r="U60" s="67">
        <f t="shared" si="12"/>
        <v>0</v>
      </c>
      <c r="V60" s="67">
        <f t="shared" si="12"/>
        <v>38.10000000000002</v>
      </c>
      <c r="W60" s="67">
        <f t="shared" si="12"/>
        <v>232.70000000000002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1182.000000000001</v>
      </c>
      <c r="AG60" s="72">
        <f>AG54-AG55-AG57-AG59-AG56-AG58</f>
        <v>198.5999999999994</v>
      </c>
      <c r="AI60" s="6"/>
    </row>
    <row r="61" spans="1:35" ht="15" customHeight="1">
      <c r="A61" s="4" t="s">
        <v>10</v>
      </c>
      <c r="B61" s="22">
        <f>92+25</f>
        <v>117</v>
      </c>
      <c r="C61" s="22">
        <v>14.400000000000006</v>
      </c>
      <c r="D61" s="67"/>
      <c r="E61" s="67"/>
      <c r="F61" s="67"/>
      <c r="G61" s="67"/>
      <c r="H61" s="67">
        <v>25.1</v>
      </c>
      <c r="I61" s="67"/>
      <c r="J61" s="72"/>
      <c r="K61" s="67"/>
      <c r="L61" s="67">
        <v>13.5</v>
      </c>
      <c r="M61" s="72"/>
      <c r="N61" s="67"/>
      <c r="O61" s="71"/>
      <c r="P61" s="67"/>
      <c r="Q61" s="71">
        <v>2.2</v>
      </c>
      <c r="R61" s="67"/>
      <c r="S61" s="72">
        <v>2</v>
      </c>
      <c r="T61" s="72">
        <v>16.6</v>
      </c>
      <c r="U61" s="72">
        <v>22.9</v>
      </c>
      <c r="V61" s="72">
        <v>12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94.30000000000001</v>
      </c>
      <c r="AG61" s="72">
        <f aca="true" t="shared" si="14" ref="AG61:AG67">B61+C61-AF61</f>
        <v>37.099999999999994</v>
      </c>
      <c r="AI61" s="6"/>
    </row>
    <row r="62" spans="1:35" ht="15" customHeight="1">
      <c r="A62" s="4" t="s">
        <v>11</v>
      </c>
      <c r="B62" s="22">
        <v>5551.1</v>
      </c>
      <c r="C62" s="22">
        <v>2119.7999999999997</v>
      </c>
      <c r="D62" s="67"/>
      <c r="E62" s="67"/>
      <c r="F62" s="67"/>
      <c r="G62" s="67">
        <v>70.2</v>
      </c>
      <c r="H62" s="67">
        <v>233.5</v>
      </c>
      <c r="I62" s="67"/>
      <c r="J62" s="72"/>
      <c r="K62" s="67">
        <v>966</v>
      </c>
      <c r="L62" s="67">
        <v>52.6</v>
      </c>
      <c r="M62" s="72">
        <v>123</v>
      </c>
      <c r="N62" s="67">
        <v>9.9</v>
      </c>
      <c r="O62" s="71"/>
      <c r="P62" s="67"/>
      <c r="Q62" s="71">
        <v>532.3</v>
      </c>
      <c r="R62" s="67">
        <v>8.3</v>
      </c>
      <c r="S62" s="72"/>
      <c r="T62" s="72">
        <v>75.6</v>
      </c>
      <c r="U62" s="72">
        <v>313.4</v>
      </c>
      <c r="V62" s="72">
        <v>1771.2</v>
      </c>
      <c r="W62" s="72">
        <v>5.9</v>
      </c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4161.9</v>
      </c>
      <c r="AG62" s="72">
        <f t="shared" si="14"/>
        <v>3509</v>
      </c>
      <c r="AI62" s="6"/>
    </row>
    <row r="63" spans="1:35" ht="15.75">
      <c r="A63" s="3" t="s">
        <v>5</v>
      </c>
      <c r="B63" s="22">
        <v>2447.4</v>
      </c>
      <c r="C63" s="22">
        <v>336.7000000000003</v>
      </c>
      <c r="D63" s="67"/>
      <c r="E63" s="67"/>
      <c r="F63" s="67"/>
      <c r="G63" s="67"/>
      <c r="H63" s="67"/>
      <c r="I63" s="67"/>
      <c r="J63" s="72"/>
      <c r="K63" s="67">
        <v>792.3</v>
      </c>
      <c r="L63" s="67"/>
      <c r="M63" s="72"/>
      <c r="N63" s="67">
        <v>9.9</v>
      </c>
      <c r="O63" s="71"/>
      <c r="P63" s="67"/>
      <c r="Q63" s="71"/>
      <c r="R63" s="67"/>
      <c r="S63" s="72"/>
      <c r="T63" s="72"/>
      <c r="U63" s="72">
        <v>66.7</v>
      </c>
      <c r="V63" s="72">
        <v>1210.9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2079.8</v>
      </c>
      <c r="AG63" s="72">
        <f t="shared" si="14"/>
        <v>704.3000000000002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535.2</v>
      </c>
      <c r="C65" s="22">
        <v>329.5</v>
      </c>
      <c r="D65" s="67"/>
      <c r="E65" s="67"/>
      <c r="F65" s="67"/>
      <c r="G65" s="67">
        <v>6.6</v>
      </c>
      <c r="H65" s="67"/>
      <c r="I65" s="67"/>
      <c r="J65" s="72"/>
      <c r="K65" s="67">
        <v>70.1</v>
      </c>
      <c r="L65" s="67"/>
      <c r="M65" s="72"/>
      <c r="N65" s="67"/>
      <c r="O65" s="71"/>
      <c r="P65" s="67"/>
      <c r="Q65" s="71">
        <v>102.1</v>
      </c>
      <c r="R65" s="67">
        <v>3.2</v>
      </c>
      <c r="S65" s="72"/>
      <c r="T65" s="72"/>
      <c r="U65" s="72"/>
      <c r="V65" s="72">
        <v>185.8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367.79999999999995</v>
      </c>
      <c r="AG65" s="72">
        <f t="shared" si="14"/>
        <v>496.9000000000001</v>
      </c>
      <c r="AH65" s="6"/>
      <c r="AI65" s="6"/>
    </row>
    <row r="66" spans="1:35" ht="15.75">
      <c r="A66" s="3" t="s">
        <v>2</v>
      </c>
      <c r="B66" s="22">
        <v>211.3</v>
      </c>
      <c r="C66" s="22">
        <v>217.29999999999998</v>
      </c>
      <c r="D66" s="67"/>
      <c r="E66" s="67"/>
      <c r="F66" s="67"/>
      <c r="G66" s="67">
        <v>2.4</v>
      </c>
      <c r="H66" s="67"/>
      <c r="I66" s="67"/>
      <c r="J66" s="72"/>
      <c r="K66" s="67">
        <v>14.5</v>
      </c>
      <c r="L66" s="67"/>
      <c r="M66" s="72"/>
      <c r="N66" s="67"/>
      <c r="O66" s="71"/>
      <c r="P66" s="67"/>
      <c r="Q66" s="67">
        <v>23</v>
      </c>
      <c r="R66" s="67"/>
      <c r="S66" s="72"/>
      <c r="T66" s="72"/>
      <c r="U66" s="72"/>
      <c r="V66" s="72">
        <v>268</v>
      </c>
      <c r="W66" s="72">
        <v>5.9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313.79999999999995</v>
      </c>
      <c r="AG66" s="72">
        <f t="shared" si="14"/>
        <v>114.80000000000007</v>
      </c>
      <c r="AI66" s="6"/>
    </row>
    <row r="67" spans="1:35" ht="15.75">
      <c r="A67" s="3" t="s">
        <v>16</v>
      </c>
      <c r="B67" s="22">
        <v>326</v>
      </c>
      <c r="C67" s="22">
        <v>353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>
        <v>242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242</v>
      </c>
      <c r="AG67" s="72">
        <f t="shared" si="14"/>
        <v>437</v>
      </c>
      <c r="AI67" s="6"/>
    </row>
    <row r="68" spans="1:35" ht="15.75">
      <c r="A68" s="3" t="s">
        <v>23</v>
      </c>
      <c r="B68" s="22">
        <f aca="true" t="shared" si="15" ref="B68:AD68">B62-B63-B66-B67-B65-B64</f>
        <v>2031.2</v>
      </c>
      <c r="C68" s="22">
        <v>883.2999999999995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61.199999999999996</v>
      </c>
      <c r="H68" s="67">
        <f t="shared" si="15"/>
        <v>233.5</v>
      </c>
      <c r="I68" s="67">
        <f t="shared" si="15"/>
        <v>0</v>
      </c>
      <c r="J68" s="67">
        <f t="shared" si="15"/>
        <v>0</v>
      </c>
      <c r="K68" s="67">
        <f t="shared" si="15"/>
        <v>89.10000000000005</v>
      </c>
      <c r="L68" s="67">
        <f t="shared" si="15"/>
        <v>52.6</v>
      </c>
      <c r="M68" s="72">
        <f t="shared" si="15"/>
        <v>123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165.19999999999996</v>
      </c>
      <c r="R68" s="67">
        <f t="shared" si="15"/>
        <v>5.1000000000000005</v>
      </c>
      <c r="S68" s="67">
        <f t="shared" si="15"/>
        <v>0</v>
      </c>
      <c r="T68" s="67">
        <f t="shared" si="15"/>
        <v>75.6</v>
      </c>
      <c r="U68" s="67">
        <f t="shared" si="15"/>
        <v>246.7</v>
      </c>
      <c r="V68" s="67">
        <f t="shared" si="15"/>
        <v>106.49999999999994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1158.5</v>
      </c>
      <c r="AG68" s="72">
        <f>AG62-AG63-AG66-AG67-AG65-AG64</f>
        <v>1755.9999999999995</v>
      </c>
      <c r="AI68" s="6"/>
    </row>
    <row r="69" spans="1:35" ht="31.5">
      <c r="A69" s="4" t="s">
        <v>45</v>
      </c>
      <c r="B69" s="22">
        <f>2033.6+50</f>
        <v>2083.6</v>
      </c>
      <c r="C69" s="22">
        <v>18.300000000000182</v>
      </c>
      <c r="D69" s="67"/>
      <c r="E69" s="67"/>
      <c r="F69" s="67"/>
      <c r="G69" s="67"/>
      <c r="H69" s="67"/>
      <c r="I69" s="67"/>
      <c r="J69" s="72"/>
      <c r="K69" s="67"/>
      <c r="L69" s="67"/>
      <c r="M69" s="72">
        <v>871.8</v>
      </c>
      <c r="N69" s="67"/>
      <c r="O69" s="67"/>
      <c r="P69" s="67">
        <v>893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1764.8</v>
      </c>
      <c r="AG69" s="89">
        <f aca="true" t="shared" si="16" ref="AG69:AG92">B69+C69-AF69</f>
        <v>337.10000000000014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f>1303+42.6</f>
        <v>1345.6</v>
      </c>
      <c r="C71" s="24">
        <v>1399.4</v>
      </c>
      <c r="D71" s="79"/>
      <c r="E71" s="79">
        <v>469.6</v>
      </c>
      <c r="F71" s="79"/>
      <c r="G71" s="79"/>
      <c r="H71" s="79">
        <v>898.6</v>
      </c>
      <c r="I71" s="79"/>
      <c r="J71" s="80"/>
      <c r="K71" s="79"/>
      <c r="L71" s="79"/>
      <c r="M71" s="80"/>
      <c r="N71" s="79"/>
      <c r="O71" s="79"/>
      <c r="P71" s="79"/>
      <c r="Q71" s="81"/>
      <c r="R71" s="79">
        <v>55</v>
      </c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1423.2</v>
      </c>
      <c r="AG71" s="89">
        <f t="shared" si="16"/>
        <v>1321.8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1968.1+10-65.8</f>
        <v>1912.3</v>
      </c>
      <c r="C72" s="22">
        <v>1395.4999999999998</v>
      </c>
      <c r="D72" s="67"/>
      <c r="E72" s="67">
        <v>53.3</v>
      </c>
      <c r="F72" s="67">
        <v>109</v>
      </c>
      <c r="G72" s="67">
        <v>1.4</v>
      </c>
      <c r="H72" s="67">
        <v>1024.1</v>
      </c>
      <c r="I72" s="67"/>
      <c r="J72" s="72">
        <v>19.8</v>
      </c>
      <c r="K72" s="67">
        <v>10</v>
      </c>
      <c r="L72" s="67">
        <v>115.6</v>
      </c>
      <c r="M72" s="72">
        <v>53.3</v>
      </c>
      <c r="N72" s="67">
        <v>13.7</v>
      </c>
      <c r="O72" s="67">
        <v>22.1</v>
      </c>
      <c r="P72" s="67">
        <v>4.9</v>
      </c>
      <c r="Q72" s="71"/>
      <c r="R72" s="67">
        <v>9</v>
      </c>
      <c r="S72" s="72">
        <v>3.6</v>
      </c>
      <c r="T72" s="72">
        <v>409.7</v>
      </c>
      <c r="U72" s="72">
        <f>170.4-140.9</f>
        <v>29.5</v>
      </c>
      <c r="V72" s="72">
        <v>95.2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1974.1999999999998</v>
      </c>
      <c r="AG72" s="89">
        <f t="shared" si="16"/>
        <v>1333.6</v>
      </c>
      <c r="AI72" s="6"/>
    </row>
    <row r="73" spans="1:35" ht="15" customHeight="1">
      <c r="A73" s="3" t="s">
        <v>5</v>
      </c>
      <c r="B73" s="22">
        <v>80.5</v>
      </c>
      <c r="C73" s="22">
        <v>0.09999999999999432</v>
      </c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>
        <v>80.5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323.4+55</f>
        <v>378.4</v>
      </c>
      <c r="C74" s="22">
        <v>191.0999999999999</v>
      </c>
      <c r="D74" s="67"/>
      <c r="E74" s="67">
        <v>53.3</v>
      </c>
      <c r="F74" s="67">
        <v>1.8</v>
      </c>
      <c r="G74" s="67">
        <v>1.1</v>
      </c>
      <c r="H74" s="67">
        <v>124.9</v>
      </c>
      <c r="I74" s="67"/>
      <c r="J74" s="72"/>
      <c r="K74" s="67"/>
      <c r="L74" s="67">
        <f>24.9+29.8</f>
        <v>54.7</v>
      </c>
      <c r="M74" s="72"/>
      <c r="N74" s="67"/>
      <c r="O74" s="67">
        <v>0.5</v>
      </c>
      <c r="P74" s="67">
        <v>0.6</v>
      </c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236.9</v>
      </c>
      <c r="AG74" s="89">
        <f t="shared" si="16"/>
        <v>332.5999999999999</v>
      </c>
      <c r="AI74" s="6"/>
    </row>
    <row r="75" spans="1:35" ht="15" customHeight="1">
      <c r="A75" s="3" t="s">
        <v>16</v>
      </c>
      <c r="B75" s="22">
        <f>10+11.6</f>
        <v>21.6</v>
      </c>
      <c r="C75" s="22">
        <v>3.8999999999999986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>
        <v>7.7</v>
      </c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7.7</v>
      </c>
      <c r="AG75" s="89">
        <f t="shared" si="16"/>
        <v>17.8</v>
      </c>
      <c r="AI75" s="6"/>
    </row>
    <row r="76" spans="1:35" s="11" customFormat="1" ht="15.75">
      <c r="A76" s="12" t="s">
        <v>48</v>
      </c>
      <c r="B76" s="22">
        <v>198.7</v>
      </c>
      <c r="C76" s="22">
        <v>49.20000000000002</v>
      </c>
      <c r="D76" s="67"/>
      <c r="E76" s="79"/>
      <c r="F76" s="79"/>
      <c r="G76" s="79"/>
      <c r="H76" s="79"/>
      <c r="I76" s="79"/>
      <c r="J76" s="80"/>
      <c r="K76" s="79">
        <v>76.4</v>
      </c>
      <c r="L76" s="79"/>
      <c r="M76" s="80"/>
      <c r="N76" s="79"/>
      <c r="O76" s="79"/>
      <c r="P76" s="79"/>
      <c r="Q76" s="81"/>
      <c r="R76" s="79"/>
      <c r="S76" s="80"/>
      <c r="T76" s="80"/>
      <c r="U76" s="79">
        <v>140.9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217.3</v>
      </c>
      <c r="AG76" s="89">
        <f t="shared" si="16"/>
        <v>30.599999999999994</v>
      </c>
      <c r="AI76" s="6"/>
    </row>
    <row r="77" spans="1:35" s="11" customFormat="1" ht="15.75">
      <c r="A77" s="3" t="s">
        <v>5</v>
      </c>
      <c r="B77" s="22">
        <v>136.2</v>
      </c>
      <c r="C77" s="22">
        <v>8.800000000000011</v>
      </c>
      <c r="D77" s="67"/>
      <c r="E77" s="79"/>
      <c r="F77" s="79"/>
      <c r="G77" s="79"/>
      <c r="H77" s="79"/>
      <c r="I77" s="79"/>
      <c r="J77" s="80"/>
      <c r="K77" s="79">
        <v>59</v>
      </c>
      <c r="L77" s="79"/>
      <c r="M77" s="80"/>
      <c r="N77" s="79"/>
      <c r="O77" s="79"/>
      <c r="P77" s="79"/>
      <c r="Q77" s="81"/>
      <c r="R77" s="79"/>
      <c r="S77" s="80"/>
      <c r="T77" s="80"/>
      <c r="U77" s="79">
        <v>82.2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141.2</v>
      </c>
      <c r="AG77" s="89">
        <f t="shared" si="16"/>
        <v>3.8000000000000114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7.5</v>
      </c>
      <c r="C80" s="22">
        <v>8.400000000000002</v>
      </c>
      <c r="D80" s="67"/>
      <c r="E80" s="79"/>
      <c r="F80" s="79"/>
      <c r="G80" s="79"/>
      <c r="H80" s="79"/>
      <c r="I80" s="79"/>
      <c r="J80" s="80"/>
      <c r="K80" s="79">
        <v>7.4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7.4</v>
      </c>
      <c r="AG80" s="89">
        <f t="shared" si="16"/>
        <v>8.500000000000002</v>
      </c>
      <c r="AI80" s="6"/>
    </row>
    <row r="81" spans="1:35" s="11" customFormat="1" ht="15.75">
      <c r="A81" s="12" t="s">
        <v>49</v>
      </c>
      <c r="B81" s="22">
        <v>29.5</v>
      </c>
      <c r="C81" s="24">
        <v>0</v>
      </c>
      <c r="D81" s="79"/>
      <c r="E81" s="79"/>
      <c r="F81" s="79"/>
      <c r="G81" s="79"/>
      <c r="H81" s="79"/>
      <c r="I81" s="79"/>
      <c r="J81" s="80"/>
      <c r="K81" s="79">
        <v>29.5</v>
      </c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29.5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v>7924.8</v>
      </c>
      <c r="C89" s="22">
        <v>2149.6000000000004</v>
      </c>
      <c r="D89" s="67"/>
      <c r="E89" s="67"/>
      <c r="F89" s="67"/>
      <c r="G89" s="67">
        <v>1136.8</v>
      </c>
      <c r="H89" s="67">
        <v>45.8</v>
      </c>
      <c r="I89" s="67"/>
      <c r="J89" s="67"/>
      <c r="K89" s="67"/>
      <c r="L89" s="67">
        <v>142.4</v>
      </c>
      <c r="M89" s="72"/>
      <c r="N89" s="67"/>
      <c r="O89" s="67"/>
      <c r="P89" s="67"/>
      <c r="Q89" s="67">
        <v>633.4</v>
      </c>
      <c r="R89" s="67"/>
      <c r="S89" s="72">
        <v>904.4</v>
      </c>
      <c r="T89" s="72"/>
      <c r="U89" s="67">
        <v>5049.6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7912.400000000001</v>
      </c>
      <c r="AG89" s="72">
        <f t="shared" si="16"/>
        <v>2162.000000000001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>
        <v>1886.8</v>
      </c>
      <c r="I90" s="67"/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v>833.3</v>
      </c>
      <c r="C91" s="22">
        <v>1666.6999999999998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2500</v>
      </c>
      <c r="AH91" s="11"/>
      <c r="AI91" s="6"/>
    </row>
    <row r="92" spans="1:34" ht="15.75">
      <c r="A92" s="4" t="s">
        <v>37</v>
      </c>
      <c r="B92" s="22">
        <v>22098</v>
      </c>
      <c r="C92" s="22">
        <f>18420.7+1.8</f>
        <v>18422.5</v>
      </c>
      <c r="D92" s="67"/>
      <c r="E92" s="67">
        <v>20631.5</v>
      </c>
      <c r="F92" s="67">
        <v>2864.5</v>
      </c>
      <c r="G92" s="67">
        <v>2072.8</v>
      </c>
      <c r="H92" s="67"/>
      <c r="I92" s="67"/>
      <c r="J92" s="67">
        <v>10611.8</v>
      </c>
      <c r="K92" s="67">
        <v>26.4</v>
      </c>
      <c r="L92" s="67">
        <v>-6447.8</v>
      </c>
      <c r="M92" s="72">
        <v>-3782.8</v>
      </c>
      <c r="N92" s="67">
        <v>-4677.3</v>
      </c>
      <c r="O92" s="67">
        <v>4676.1</v>
      </c>
      <c r="P92" s="67"/>
      <c r="Q92" s="67">
        <v>-2746.7</v>
      </c>
      <c r="R92" s="67"/>
      <c r="S92" s="72">
        <v>-2356.3</v>
      </c>
      <c r="T92" s="72"/>
      <c r="U92" s="67"/>
      <c r="V92" s="67">
        <v>-5820.8</v>
      </c>
      <c r="W92" s="67">
        <v>6091.9</v>
      </c>
      <c r="X92" s="72">
        <v>14434.9</v>
      </c>
      <c r="Y92" s="72"/>
      <c r="Z92" s="72"/>
      <c r="AA92" s="72"/>
      <c r="AB92" s="67"/>
      <c r="AC92" s="67"/>
      <c r="AD92" s="67"/>
      <c r="AE92" s="67"/>
      <c r="AF92" s="71">
        <f t="shared" si="13"/>
        <v>35578.200000000004</v>
      </c>
      <c r="AG92" s="72">
        <f t="shared" si="16"/>
        <v>4942.299999999996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217052.4</v>
      </c>
      <c r="C94" s="35">
        <f t="shared" si="17"/>
        <v>73800.6</v>
      </c>
      <c r="D94" s="82">
        <f t="shared" si="17"/>
        <v>0</v>
      </c>
      <c r="E94" s="82">
        <f t="shared" si="17"/>
        <v>21358.3</v>
      </c>
      <c r="F94" s="82">
        <f t="shared" si="17"/>
        <v>3204.4</v>
      </c>
      <c r="G94" s="82">
        <f t="shared" si="17"/>
        <v>5865.6</v>
      </c>
      <c r="H94" s="82">
        <f t="shared" si="17"/>
        <v>8364.300000000001</v>
      </c>
      <c r="I94" s="82">
        <f t="shared" si="17"/>
        <v>0</v>
      </c>
      <c r="J94" s="82">
        <f t="shared" si="17"/>
        <v>15014.099999999999</v>
      </c>
      <c r="K94" s="82">
        <f t="shared" si="17"/>
        <v>28247.40000000001</v>
      </c>
      <c r="L94" s="82">
        <f t="shared" si="17"/>
        <v>11766.099999999999</v>
      </c>
      <c r="M94" s="91">
        <f t="shared" si="17"/>
        <v>2952.1000000000004</v>
      </c>
      <c r="N94" s="82">
        <f t="shared" si="17"/>
        <v>4810.699999999998</v>
      </c>
      <c r="O94" s="82">
        <f t="shared" si="17"/>
        <v>11375.300000000001</v>
      </c>
      <c r="P94" s="82">
        <f t="shared" si="17"/>
        <v>3461</v>
      </c>
      <c r="Q94" s="82">
        <f t="shared" si="17"/>
        <v>3460.3</v>
      </c>
      <c r="R94" s="82">
        <f t="shared" si="17"/>
        <v>1154.3999999999999</v>
      </c>
      <c r="S94" s="82">
        <f t="shared" si="17"/>
        <v>3293.8</v>
      </c>
      <c r="T94" s="82">
        <f t="shared" si="17"/>
        <v>12679.3</v>
      </c>
      <c r="U94" s="82">
        <f t="shared" si="17"/>
        <v>50866.90000000001</v>
      </c>
      <c r="V94" s="82">
        <f t="shared" si="17"/>
        <v>3159.3999999999987</v>
      </c>
      <c r="W94" s="82">
        <f t="shared" si="17"/>
        <v>7276.2</v>
      </c>
      <c r="X94" s="82">
        <f t="shared" si="17"/>
        <v>16321.699999999999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214631.29999999996</v>
      </c>
      <c r="AG94" s="83">
        <f>AG10+AG15+AG24+AG33+AG47+AG52+AG54+AG61+AG62+AG69+AG71+AG72+AG76+AG81+AG82+AG83+AG88+AG89+AG90+AG91+AG70+AG40+AG92</f>
        <v>76221.70000000001</v>
      </c>
    </row>
    <row r="95" spans="1:33" ht="15.75">
      <c r="A95" s="3" t="s">
        <v>5</v>
      </c>
      <c r="B95" s="22">
        <f aca="true" t="shared" si="18" ref="B95:AD95">B11+B17+B26+B34+B55+B63+B73+B41+B77+B48</f>
        <v>81492.45999999999</v>
      </c>
      <c r="C95" s="22">
        <f t="shared" si="18"/>
        <v>4334.199999999999</v>
      </c>
      <c r="D95" s="67">
        <f t="shared" si="18"/>
        <v>0</v>
      </c>
      <c r="E95" s="67">
        <f t="shared" si="18"/>
        <v>196.5</v>
      </c>
      <c r="F95" s="67">
        <f t="shared" si="18"/>
        <v>101.4</v>
      </c>
      <c r="G95" s="67">
        <f t="shared" si="18"/>
        <v>134.2</v>
      </c>
      <c r="H95" s="67">
        <f t="shared" si="18"/>
        <v>1.1</v>
      </c>
      <c r="I95" s="67">
        <f t="shared" si="18"/>
        <v>0</v>
      </c>
      <c r="J95" s="67">
        <f t="shared" si="18"/>
        <v>0</v>
      </c>
      <c r="K95" s="67">
        <f t="shared" si="18"/>
        <v>25840.399999999998</v>
      </c>
      <c r="L95" s="67">
        <f t="shared" si="18"/>
        <v>4497.500000000001</v>
      </c>
      <c r="M95" s="72">
        <f t="shared" si="18"/>
        <v>1272.4</v>
      </c>
      <c r="N95" s="67">
        <f t="shared" si="18"/>
        <v>9.9</v>
      </c>
      <c r="O95" s="67">
        <f t="shared" si="18"/>
        <v>0</v>
      </c>
      <c r="P95" s="67">
        <f t="shared" si="18"/>
        <v>0</v>
      </c>
      <c r="Q95" s="67">
        <f t="shared" si="18"/>
        <v>130.1</v>
      </c>
      <c r="R95" s="67">
        <f t="shared" si="18"/>
        <v>0</v>
      </c>
      <c r="S95" s="67">
        <f t="shared" si="18"/>
        <v>0.9</v>
      </c>
      <c r="T95" s="67">
        <f t="shared" si="18"/>
        <v>1054</v>
      </c>
      <c r="U95" s="67">
        <f t="shared" si="18"/>
        <v>37530.69999999999</v>
      </c>
      <c r="V95" s="67">
        <f t="shared" si="18"/>
        <v>7663.4</v>
      </c>
      <c r="W95" s="67">
        <f t="shared" si="18"/>
        <v>891.5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79323.99999999999</v>
      </c>
      <c r="AG95" s="71">
        <f>B95+C95-AF95</f>
        <v>6502.6600000000035</v>
      </c>
    </row>
    <row r="96" spans="1:33" ht="15.75">
      <c r="A96" s="3" t="s">
        <v>2</v>
      </c>
      <c r="B96" s="22">
        <f aca="true" t="shared" si="19" ref="B96:AD96">B12+B20+B29+B36+B57+B66+B44+B80+B74+B53</f>
        <v>20014.699999999997</v>
      </c>
      <c r="C96" s="22">
        <f t="shared" si="19"/>
        <v>22926.899999999994</v>
      </c>
      <c r="D96" s="67">
        <f t="shared" si="19"/>
        <v>0</v>
      </c>
      <c r="E96" s="67">
        <f t="shared" si="19"/>
        <v>53.3</v>
      </c>
      <c r="F96" s="67">
        <f t="shared" si="19"/>
        <v>1.8</v>
      </c>
      <c r="G96" s="67">
        <f t="shared" si="19"/>
        <v>836.6999999999999</v>
      </c>
      <c r="H96" s="67">
        <f t="shared" si="19"/>
        <v>1393.1000000000001</v>
      </c>
      <c r="I96" s="67">
        <f t="shared" si="19"/>
        <v>0</v>
      </c>
      <c r="J96" s="67">
        <f t="shared" si="19"/>
        <v>939.1999999999999</v>
      </c>
      <c r="K96" s="67">
        <f t="shared" si="19"/>
        <v>723.6999999999999</v>
      </c>
      <c r="L96" s="67">
        <f t="shared" si="19"/>
        <v>3031.6</v>
      </c>
      <c r="M96" s="72">
        <f t="shared" si="19"/>
        <v>2522</v>
      </c>
      <c r="N96" s="67">
        <f t="shared" si="19"/>
        <v>1462.6</v>
      </c>
      <c r="O96" s="67">
        <f t="shared" si="19"/>
        <v>5974.1</v>
      </c>
      <c r="P96" s="67">
        <f t="shared" si="19"/>
        <v>1468.1</v>
      </c>
      <c r="Q96" s="67">
        <f t="shared" si="19"/>
        <v>278.7</v>
      </c>
      <c r="R96" s="67">
        <f t="shared" si="19"/>
        <v>777.8</v>
      </c>
      <c r="S96" s="67">
        <f t="shared" si="19"/>
        <v>814</v>
      </c>
      <c r="T96" s="67">
        <f t="shared" si="19"/>
        <v>570.3</v>
      </c>
      <c r="U96" s="67">
        <f t="shared" si="19"/>
        <v>110.60000000000001</v>
      </c>
      <c r="V96" s="67">
        <f t="shared" si="19"/>
        <v>331.1</v>
      </c>
      <c r="W96" s="67">
        <f t="shared" si="19"/>
        <v>2.2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21290.899999999994</v>
      </c>
      <c r="AG96" s="71">
        <f>B96+C96-AF96</f>
        <v>21650.699999999997</v>
      </c>
    </row>
    <row r="97" spans="1:33" ht="15.75">
      <c r="A97" s="3" t="s">
        <v>3</v>
      </c>
      <c r="B97" s="22">
        <f aca="true" t="shared" si="20" ref="B97:AA97">B18+B27+B42+B64+B78</f>
        <v>36.3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0.9</v>
      </c>
      <c r="I97" s="67">
        <f t="shared" si="20"/>
        <v>0</v>
      </c>
      <c r="J97" s="67">
        <f t="shared" si="20"/>
        <v>0.3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8.7</v>
      </c>
      <c r="U97" s="67">
        <f t="shared" si="20"/>
        <v>9.7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19.599999999999998</v>
      </c>
      <c r="AG97" s="71">
        <f>B97+C97-AF97</f>
        <v>16.7</v>
      </c>
    </row>
    <row r="98" spans="1:33" ht="15.75">
      <c r="A98" s="3" t="s">
        <v>1</v>
      </c>
      <c r="B98" s="22">
        <f aca="true" t="shared" si="21" ref="B98:AD98">B19+B28+B65+B35+B43+B56+B79</f>
        <v>4833.4</v>
      </c>
      <c r="C98" s="22">
        <f t="shared" si="21"/>
        <v>3873.3999999999996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246.9</v>
      </c>
      <c r="H98" s="67">
        <f t="shared" si="21"/>
        <v>427.1</v>
      </c>
      <c r="I98" s="67">
        <f t="shared" si="21"/>
        <v>0</v>
      </c>
      <c r="J98" s="67">
        <f t="shared" si="21"/>
        <v>446.9</v>
      </c>
      <c r="K98" s="67">
        <f t="shared" si="21"/>
        <v>172.2</v>
      </c>
      <c r="L98" s="67">
        <f t="shared" si="21"/>
        <v>56.5</v>
      </c>
      <c r="M98" s="72">
        <f t="shared" si="21"/>
        <v>154.6</v>
      </c>
      <c r="N98" s="67">
        <f t="shared" si="21"/>
        <v>774.4</v>
      </c>
      <c r="O98" s="67">
        <f t="shared" si="21"/>
        <v>0</v>
      </c>
      <c r="P98" s="67">
        <f t="shared" si="21"/>
        <v>945</v>
      </c>
      <c r="Q98" s="67">
        <f t="shared" si="21"/>
        <v>502.1</v>
      </c>
      <c r="R98" s="67">
        <f t="shared" si="21"/>
        <v>4.2</v>
      </c>
      <c r="S98" s="67">
        <f t="shared" si="21"/>
        <v>1121.4</v>
      </c>
      <c r="T98" s="67">
        <f t="shared" si="21"/>
        <v>59</v>
      </c>
      <c r="U98" s="67">
        <f t="shared" si="21"/>
        <v>682.9</v>
      </c>
      <c r="V98" s="67">
        <f t="shared" si="21"/>
        <v>204.5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5797.699999999999</v>
      </c>
      <c r="AG98" s="71">
        <f>B98+C98-AF98</f>
        <v>2909.1000000000004</v>
      </c>
    </row>
    <row r="99" spans="1:33" ht="15.75">
      <c r="A99" s="3" t="s">
        <v>16</v>
      </c>
      <c r="B99" s="22">
        <f aca="true" t="shared" si="22" ref="B99:X99">B21+B30+B49+B37+B58+B13+B75+B67</f>
        <v>7633.900000000001</v>
      </c>
      <c r="C99" s="22">
        <f t="shared" si="22"/>
        <v>2159.8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582.9</v>
      </c>
      <c r="H99" s="67">
        <f t="shared" si="22"/>
        <v>250.5</v>
      </c>
      <c r="I99" s="67">
        <f t="shared" si="22"/>
        <v>0</v>
      </c>
      <c r="J99" s="67">
        <f t="shared" si="22"/>
        <v>1833.3</v>
      </c>
      <c r="K99" s="67">
        <f t="shared" si="22"/>
        <v>55</v>
      </c>
      <c r="L99" s="67">
        <f t="shared" si="22"/>
        <v>0</v>
      </c>
      <c r="M99" s="72">
        <f t="shared" si="22"/>
        <v>376.7</v>
      </c>
      <c r="N99" s="67">
        <f t="shared" si="22"/>
        <v>120.2</v>
      </c>
      <c r="O99" s="67">
        <f t="shared" si="22"/>
        <v>529.4</v>
      </c>
      <c r="P99" s="67">
        <f t="shared" si="22"/>
        <v>0</v>
      </c>
      <c r="Q99" s="67">
        <f t="shared" si="22"/>
        <v>2103</v>
      </c>
      <c r="R99" s="67">
        <f t="shared" si="22"/>
        <v>93.69999999999999</v>
      </c>
      <c r="S99" s="67">
        <f t="shared" si="22"/>
        <v>419.7</v>
      </c>
      <c r="T99" s="67">
        <f t="shared" si="22"/>
        <v>713.5</v>
      </c>
      <c r="U99" s="67">
        <f t="shared" si="22"/>
        <v>11.5</v>
      </c>
      <c r="V99" s="67">
        <f t="shared" si="22"/>
        <v>241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7330.4</v>
      </c>
      <c r="AG99" s="71">
        <f>B99+C99-AF99</f>
        <v>2463.300000000001</v>
      </c>
    </row>
    <row r="100" spans="1:33" ht="12.75">
      <c r="A100" s="1" t="s">
        <v>35</v>
      </c>
      <c r="B100" s="2">
        <f aca="true" t="shared" si="24" ref="B100:AD100">B94-B95-B96-B97-B98-B99</f>
        <v>103041.64000000001</v>
      </c>
      <c r="C100" s="2">
        <f t="shared" si="24"/>
        <v>40506.30000000001</v>
      </c>
      <c r="D100" s="84">
        <f t="shared" si="24"/>
        <v>0</v>
      </c>
      <c r="E100" s="84">
        <f t="shared" si="24"/>
        <v>21108.5</v>
      </c>
      <c r="F100" s="84">
        <f t="shared" si="24"/>
        <v>3101.2</v>
      </c>
      <c r="G100" s="84">
        <f t="shared" si="24"/>
        <v>4064.900000000001</v>
      </c>
      <c r="H100" s="84">
        <f t="shared" si="24"/>
        <v>6291.6</v>
      </c>
      <c r="I100" s="84">
        <f t="shared" si="24"/>
        <v>0</v>
      </c>
      <c r="J100" s="84">
        <f t="shared" si="24"/>
        <v>11794.4</v>
      </c>
      <c r="K100" s="84">
        <f t="shared" si="24"/>
        <v>1456.100000000011</v>
      </c>
      <c r="L100" s="84">
        <f t="shared" si="24"/>
        <v>4180.499999999998</v>
      </c>
      <c r="M100" s="92">
        <f t="shared" si="24"/>
        <v>-1373.5999999999997</v>
      </c>
      <c r="N100" s="84">
        <f t="shared" si="24"/>
        <v>2443.5999999999985</v>
      </c>
      <c r="O100" s="84">
        <f t="shared" si="24"/>
        <v>4871.800000000001</v>
      </c>
      <c r="P100" s="84">
        <f t="shared" si="24"/>
        <v>1047.9</v>
      </c>
      <c r="Q100" s="84">
        <f t="shared" si="24"/>
        <v>446.40000000000055</v>
      </c>
      <c r="R100" s="84">
        <f t="shared" si="24"/>
        <v>278.69999999999993</v>
      </c>
      <c r="S100" s="84">
        <f t="shared" si="24"/>
        <v>937.8</v>
      </c>
      <c r="T100" s="84">
        <f t="shared" si="24"/>
        <v>10273.8</v>
      </c>
      <c r="U100" s="84">
        <f t="shared" si="24"/>
        <v>12521.500000000018</v>
      </c>
      <c r="V100" s="84">
        <f t="shared" si="24"/>
        <v>-5280.600000000001</v>
      </c>
      <c r="W100" s="84">
        <f t="shared" si="24"/>
        <v>6382.5</v>
      </c>
      <c r="X100" s="84">
        <f t="shared" si="24"/>
        <v>16321.699999999999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100868.7</v>
      </c>
      <c r="AG100" s="84">
        <f>AG94-AG95-AG96-AG97-AG98-AG99</f>
        <v>42679.24000000001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0" zoomScaleNormal="70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3" sqref="B9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12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1" width="12.1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97" t="s">
        <v>12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1:33" ht="22.5" customHeight="1">
      <c r="A2" s="98" t="s">
        <v>59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57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8</v>
      </c>
      <c r="K4" s="8">
        <v>9</v>
      </c>
      <c r="L4" s="8">
        <v>10</v>
      </c>
      <c r="M4" s="19">
        <v>11</v>
      </c>
      <c r="N4" s="8">
        <v>12</v>
      </c>
      <c r="O4" s="8">
        <v>15</v>
      </c>
      <c r="P4" s="8">
        <v>16</v>
      </c>
      <c r="Q4" s="8">
        <v>17</v>
      </c>
      <c r="R4" s="8">
        <v>18</v>
      </c>
      <c r="S4" s="19">
        <v>19</v>
      </c>
      <c r="T4" s="19">
        <v>22</v>
      </c>
      <c r="U4" s="8">
        <v>23</v>
      </c>
      <c r="V4" s="8">
        <v>24</v>
      </c>
      <c r="W4" s="8">
        <v>25</v>
      </c>
      <c r="X4" s="19">
        <v>26</v>
      </c>
      <c r="Y4" s="19">
        <v>27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20029</v>
      </c>
      <c r="C7" s="86">
        <v>940.7000000000007</v>
      </c>
      <c r="D7" s="37"/>
      <c r="E7" s="38">
        <v>20029</v>
      </c>
      <c r="F7" s="38"/>
      <c r="G7" s="38"/>
      <c r="H7" s="56"/>
      <c r="I7" s="38"/>
      <c r="J7" s="39"/>
      <c r="K7" s="38"/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-1092.6000000000004</v>
      </c>
      <c r="AF7" s="54"/>
      <c r="AG7" s="40"/>
    </row>
    <row r="8" spans="1:55" ht="18" customHeight="1">
      <c r="A8" s="47" t="s">
        <v>30</v>
      </c>
      <c r="B8" s="33">
        <f>SUM(E8:AB8)</f>
        <v>79527.5</v>
      </c>
      <c r="C8" s="87">
        <v>33508.600000000035</v>
      </c>
      <c r="D8" s="59">
        <v>11737.4</v>
      </c>
      <c r="E8" s="60">
        <v>3590.4</v>
      </c>
      <c r="F8" s="61">
        <v>2980.8</v>
      </c>
      <c r="G8" s="61">
        <v>3620</v>
      </c>
      <c r="H8" s="61">
        <v>4639.7</v>
      </c>
      <c r="I8" s="61"/>
      <c r="J8" s="61">
        <v>35408.3</v>
      </c>
      <c r="K8" s="62">
        <v>9765.6</v>
      </c>
      <c r="L8" s="61">
        <v>4740.7</v>
      </c>
      <c r="M8" s="62">
        <v>3112.7</v>
      </c>
      <c r="N8" s="61">
        <v>2972.7</v>
      </c>
      <c r="O8" s="61">
        <v>8696.6</v>
      </c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50951.50000000003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201521.0000000001</v>
      </c>
      <c r="C9" s="23">
        <f t="shared" si="0"/>
        <v>76221.70000000001</v>
      </c>
      <c r="D9" s="68">
        <f t="shared" si="0"/>
        <v>3700.3</v>
      </c>
      <c r="E9" s="68">
        <f t="shared" si="0"/>
        <v>1323.8</v>
      </c>
      <c r="F9" s="68">
        <f t="shared" si="0"/>
        <v>1718.3000000000002</v>
      </c>
      <c r="G9" s="68">
        <f t="shared" si="0"/>
        <v>4638.700000000001</v>
      </c>
      <c r="H9" s="68">
        <f t="shared" si="0"/>
        <v>15927.699999999999</v>
      </c>
      <c r="I9" s="68">
        <f t="shared" si="0"/>
        <v>0</v>
      </c>
      <c r="J9" s="68">
        <f t="shared" si="0"/>
        <v>6397.4</v>
      </c>
      <c r="K9" s="68">
        <f t="shared" si="0"/>
        <v>5330.6</v>
      </c>
      <c r="L9" s="68">
        <f t="shared" si="0"/>
        <v>17463.5</v>
      </c>
      <c r="M9" s="90">
        <f t="shared" si="0"/>
        <v>32747.3</v>
      </c>
      <c r="N9" s="68">
        <f t="shared" si="0"/>
        <v>6069.400000000001</v>
      </c>
      <c r="O9" s="68">
        <f t="shared" si="0"/>
        <v>567.3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95884.30000000002</v>
      </c>
      <c r="AG9" s="90">
        <f>AG10+AG15+AG24+AG33+AG47+AG52+AG54+AG61+AG62+AG71+AG72+AG76+AG88+AG81+AG83+AG82+AG69+AG89+AG91+AG90+AG70+AG40+AG92</f>
        <v>181858.40000000005</v>
      </c>
      <c r="AH9" s="41"/>
      <c r="AI9" s="41"/>
    </row>
    <row r="10" spans="1:35" ht="15.75">
      <c r="A10" s="4" t="s">
        <v>4</v>
      </c>
      <c r="B10" s="22">
        <f>18814.9-200</f>
        <v>18614.9</v>
      </c>
      <c r="C10" s="22">
        <v>3881.9000000000015</v>
      </c>
      <c r="D10" s="67">
        <v>407</v>
      </c>
      <c r="E10" s="67">
        <v>308.2</v>
      </c>
      <c r="F10" s="67">
        <v>42.8</v>
      </c>
      <c r="G10" s="67">
        <v>26.9</v>
      </c>
      <c r="H10" s="67">
        <v>55.8</v>
      </c>
      <c r="I10" s="67"/>
      <c r="J10" s="70">
        <v>18.9</v>
      </c>
      <c r="K10" s="67">
        <v>32</v>
      </c>
      <c r="L10" s="67">
        <v>2098.5</v>
      </c>
      <c r="M10" s="72">
        <v>2975.4</v>
      </c>
      <c r="N10" s="67">
        <v>1838.9</v>
      </c>
      <c r="O10" s="71">
        <v>53.3</v>
      </c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7857.7</v>
      </c>
      <c r="AG10" s="96">
        <f>B10+C10-AF10</f>
        <v>14639.100000000002</v>
      </c>
      <c r="AI10" s="6"/>
    </row>
    <row r="11" spans="1:35" ht="15.75">
      <c r="A11" s="3" t="s">
        <v>5</v>
      </c>
      <c r="B11" s="22">
        <f>17685.7-200</f>
        <v>17485.7</v>
      </c>
      <c r="C11" s="22">
        <v>2650.100000000006</v>
      </c>
      <c r="D11" s="67">
        <v>404.9</v>
      </c>
      <c r="E11" s="67">
        <v>294.9</v>
      </c>
      <c r="F11" s="67">
        <v>22.6</v>
      </c>
      <c r="G11" s="67"/>
      <c r="H11" s="67">
        <v>39.9</v>
      </c>
      <c r="I11" s="67"/>
      <c r="J11" s="72"/>
      <c r="K11" s="67">
        <v>14.8</v>
      </c>
      <c r="L11" s="67">
        <v>1918.5</v>
      </c>
      <c r="M11" s="72">
        <v>2969.6</v>
      </c>
      <c r="N11" s="67">
        <v>1796.3</v>
      </c>
      <c r="O11" s="71">
        <v>33.2</v>
      </c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7494.7</v>
      </c>
      <c r="AG11" s="96">
        <f>B11+C11-AF11</f>
        <v>12641.100000000006</v>
      </c>
      <c r="AI11" s="6"/>
    </row>
    <row r="12" spans="1:35" ht="15.75">
      <c r="A12" s="3" t="s">
        <v>2</v>
      </c>
      <c r="B12" s="29">
        <v>246.8</v>
      </c>
      <c r="C12" s="22">
        <v>372.7</v>
      </c>
      <c r="D12" s="67"/>
      <c r="E12" s="67"/>
      <c r="F12" s="67"/>
      <c r="G12" s="67"/>
      <c r="H12" s="67">
        <v>3.8</v>
      </c>
      <c r="I12" s="67"/>
      <c r="J12" s="72"/>
      <c r="K12" s="67"/>
      <c r="L12" s="67">
        <v>156.9</v>
      </c>
      <c r="M12" s="72"/>
      <c r="N12" s="67">
        <v>5.1</v>
      </c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165.8</v>
      </c>
      <c r="AG12" s="96">
        <f>B12+C12-AF12</f>
        <v>453.7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96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882.4000000000008</v>
      </c>
      <c r="C14" s="22">
        <v>859.0999999999956</v>
      </c>
      <c r="D14" s="67">
        <f t="shared" si="2"/>
        <v>2.1000000000000227</v>
      </c>
      <c r="E14" s="67">
        <f t="shared" si="2"/>
        <v>13.300000000000011</v>
      </c>
      <c r="F14" s="67">
        <f t="shared" si="2"/>
        <v>20.199999999999996</v>
      </c>
      <c r="G14" s="67">
        <f t="shared" si="2"/>
        <v>26.9</v>
      </c>
      <c r="H14" s="67">
        <f t="shared" si="2"/>
        <v>12.099999999999998</v>
      </c>
      <c r="I14" s="67">
        <f t="shared" si="2"/>
        <v>0</v>
      </c>
      <c r="J14" s="67">
        <f t="shared" si="2"/>
        <v>18.9</v>
      </c>
      <c r="K14" s="67">
        <f t="shared" si="2"/>
        <v>17.2</v>
      </c>
      <c r="L14" s="67">
        <f t="shared" si="2"/>
        <v>23.099999999999994</v>
      </c>
      <c r="M14" s="72">
        <f t="shared" si="2"/>
        <v>5.800000000000182</v>
      </c>
      <c r="N14" s="67">
        <f t="shared" si="2"/>
        <v>37.500000000000135</v>
      </c>
      <c r="O14" s="67">
        <f t="shared" si="2"/>
        <v>20.099999999999994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197.20000000000033</v>
      </c>
      <c r="AG14" s="96">
        <f>AG10-AG11-AG12-AG13</f>
        <v>1544.2999999999963</v>
      </c>
      <c r="AI14" s="6"/>
    </row>
    <row r="15" spans="1:35" ht="15" customHeight="1">
      <c r="A15" s="4" t="s">
        <v>6</v>
      </c>
      <c r="B15" s="22">
        <f>78673.8+7.6</f>
        <v>78681.40000000001</v>
      </c>
      <c r="C15" s="22">
        <v>29287.300000000003</v>
      </c>
      <c r="D15" s="73"/>
      <c r="E15" s="73">
        <v>629.5</v>
      </c>
      <c r="F15" s="67">
        <v>733.5</v>
      </c>
      <c r="G15" s="67">
        <v>255.6</v>
      </c>
      <c r="H15" s="67">
        <v>2756.8</v>
      </c>
      <c r="I15" s="67"/>
      <c r="J15" s="72">
        <f>628.6+8.7</f>
        <v>637.3000000000001</v>
      </c>
      <c r="K15" s="67">
        <v>2675.8</v>
      </c>
      <c r="L15" s="67">
        <v>1146.4</v>
      </c>
      <c r="M15" s="72">
        <f>15913.4+10597.9</f>
        <v>26511.3</v>
      </c>
      <c r="N15" s="67">
        <v>989.9</v>
      </c>
      <c r="O15" s="71">
        <v>15.5</v>
      </c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36351.6</v>
      </c>
      <c r="AG15" s="96">
        <f aca="true" t="shared" si="3" ref="AG15:AG31">B15+C15-AF15</f>
        <v>71617.1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42.79999999999927</v>
      </c>
      <c r="D16" s="74"/>
      <c r="E16" s="74"/>
      <c r="F16" s="75"/>
      <c r="G16" s="75"/>
      <c r="H16" s="75"/>
      <c r="I16" s="75"/>
      <c r="J16" s="76">
        <v>8.7</v>
      </c>
      <c r="K16" s="75"/>
      <c r="L16" s="75"/>
      <c r="M16" s="76">
        <v>10597.9</v>
      </c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10606.6</v>
      </c>
      <c r="AG16" s="88">
        <f t="shared" si="3"/>
        <v>12455.799999999997</v>
      </c>
      <c r="AH16" s="57"/>
      <c r="AI16" s="6"/>
    </row>
    <row r="17" spans="1:35" ht="15.75">
      <c r="A17" s="3" t="s">
        <v>5</v>
      </c>
      <c r="B17" s="22">
        <v>61793.1</v>
      </c>
      <c r="C17" s="22">
        <v>2733.659999999996</v>
      </c>
      <c r="D17" s="67"/>
      <c r="E17" s="67">
        <v>5.3</v>
      </c>
      <c r="F17" s="67">
        <v>4.8</v>
      </c>
      <c r="G17" s="67"/>
      <c r="H17" s="67"/>
      <c r="I17" s="67"/>
      <c r="J17" s="72">
        <v>8.7</v>
      </c>
      <c r="K17" s="67"/>
      <c r="L17" s="67"/>
      <c r="M17" s="72">
        <f>13704.4+10597.9</f>
        <v>24302.3</v>
      </c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24321.1</v>
      </c>
      <c r="AG17" s="72">
        <f t="shared" si="3"/>
        <v>40205.659999999996</v>
      </c>
      <c r="AH17" s="6"/>
      <c r="AI17" s="6"/>
    </row>
    <row r="18" spans="1:35" ht="15.75">
      <c r="A18" s="3" t="s">
        <v>3</v>
      </c>
      <c r="B18" s="22"/>
      <c r="C18" s="22">
        <v>15.8</v>
      </c>
      <c r="D18" s="67"/>
      <c r="E18" s="67"/>
      <c r="F18" s="67"/>
      <c r="G18" s="67"/>
      <c r="H18" s="67">
        <v>0.3</v>
      </c>
      <c r="I18" s="67"/>
      <c r="J18" s="72">
        <v>0.4</v>
      </c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0.7</v>
      </c>
      <c r="AG18" s="72">
        <f t="shared" si="3"/>
        <v>15.100000000000001</v>
      </c>
      <c r="AI18" s="6"/>
    </row>
    <row r="19" spans="1:35" ht="15.75">
      <c r="A19" s="3" t="s">
        <v>1</v>
      </c>
      <c r="B19" s="22">
        <v>5306.4</v>
      </c>
      <c r="C19" s="22">
        <v>2409.8999999999996</v>
      </c>
      <c r="D19" s="67"/>
      <c r="E19" s="67">
        <v>363.3</v>
      </c>
      <c r="F19" s="67">
        <v>73.4</v>
      </c>
      <c r="G19" s="67">
        <v>41.9</v>
      </c>
      <c r="H19" s="67">
        <v>403.7</v>
      </c>
      <c r="I19" s="67"/>
      <c r="J19" s="72">
        <v>10.1</v>
      </c>
      <c r="K19" s="67">
        <v>702.9</v>
      </c>
      <c r="L19" s="67">
        <v>518</v>
      </c>
      <c r="M19" s="72">
        <v>32.3</v>
      </c>
      <c r="N19" s="67">
        <v>798.8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2944.4000000000005</v>
      </c>
      <c r="AG19" s="72">
        <f t="shared" si="3"/>
        <v>4771.899999999999</v>
      </c>
      <c r="AI19" s="6"/>
    </row>
    <row r="20" spans="1:35" ht="15.75">
      <c r="A20" s="3" t="s">
        <v>2</v>
      </c>
      <c r="B20" s="22">
        <v>6956.5</v>
      </c>
      <c r="C20" s="22">
        <v>19342.3</v>
      </c>
      <c r="D20" s="67"/>
      <c r="E20" s="67">
        <v>65.1</v>
      </c>
      <c r="F20" s="67">
        <v>547.6</v>
      </c>
      <c r="G20" s="67">
        <v>206.2</v>
      </c>
      <c r="H20" s="67">
        <v>1957.7</v>
      </c>
      <c r="I20" s="67"/>
      <c r="J20" s="72">
        <v>517</v>
      </c>
      <c r="K20" s="67">
        <v>1972.2</v>
      </c>
      <c r="L20" s="67">
        <v>544.3</v>
      </c>
      <c r="M20" s="72">
        <v>1550.3</v>
      </c>
      <c r="N20" s="67">
        <v>130.4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7490.8</v>
      </c>
      <c r="AG20" s="72">
        <f t="shared" si="3"/>
        <v>18808</v>
      </c>
      <c r="AI20" s="6"/>
    </row>
    <row r="21" spans="1:35" ht="15.75">
      <c r="A21" s="3" t="s">
        <v>16</v>
      </c>
      <c r="B21" s="22">
        <v>1151.3</v>
      </c>
      <c r="C21" s="22">
        <v>347.5</v>
      </c>
      <c r="D21" s="67"/>
      <c r="E21" s="67"/>
      <c r="F21" s="67"/>
      <c r="G21" s="67"/>
      <c r="H21" s="67"/>
      <c r="I21" s="67"/>
      <c r="J21" s="72"/>
      <c r="K21" s="67"/>
      <c r="L21" s="67"/>
      <c r="M21" s="72">
        <v>194.7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194.7</v>
      </c>
      <c r="AG21" s="72">
        <f t="shared" si="3"/>
        <v>1304.1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3474.1000000000104</v>
      </c>
      <c r="C23" s="22">
        <v>4652.540000000017</v>
      </c>
      <c r="D23" s="67">
        <f aca="true" t="shared" si="4" ref="D23:AD23">D15-D17-D18-D19-D20-D21-D22</f>
        <v>0</v>
      </c>
      <c r="E23" s="67">
        <f t="shared" si="4"/>
        <v>195.80000000000004</v>
      </c>
      <c r="F23" s="67">
        <f t="shared" si="4"/>
        <v>107.70000000000005</v>
      </c>
      <c r="G23" s="67">
        <f t="shared" si="4"/>
        <v>7.5</v>
      </c>
      <c r="H23" s="67">
        <f t="shared" si="4"/>
        <v>395.10000000000014</v>
      </c>
      <c r="I23" s="67">
        <f t="shared" si="4"/>
        <v>0</v>
      </c>
      <c r="J23" s="67">
        <f t="shared" si="4"/>
        <v>101.10000000000002</v>
      </c>
      <c r="K23" s="67">
        <f t="shared" si="4"/>
        <v>0.7000000000000455</v>
      </c>
      <c r="L23" s="67">
        <f t="shared" si="4"/>
        <v>84.10000000000014</v>
      </c>
      <c r="M23" s="72">
        <f t="shared" si="4"/>
        <v>431.6999999999999</v>
      </c>
      <c r="N23" s="67">
        <f t="shared" si="4"/>
        <v>60.70000000000002</v>
      </c>
      <c r="O23" s="67">
        <f t="shared" si="4"/>
        <v>15.5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1399.9000000000003</v>
      </c>
      <c r="AG23" s="72">
        <f t="shared" si="3"/>
        <v>6726.740000000027</v>
      </c>
      <c r="AI23" s="6"/>
    </row>
    <row r="24" spans="1:35" ht="15" customHeight="1">
      <c r="A24" s="4" t="s">
        <v>7</v>
      </c>
      <c r="B24" s="22">
        <v>43035.5</v>
      </c>
      <c r="C24" s="22">
        <v>11664.400000000009</v>
      </c>
      <c r="D24" s="67"/>
      <c r="E24" s="67">
        <f>112+0.7</f>
        <v>112.7</v>
      </c>
      <c r="F24" s="67">
        <v>344.2</v>
      </c>
      <c r="G24" s="67"/>
      <c r="H24" s="67">
        <v>2929.9</v>
      </c>
      <c r="I24" s="67"/>
      <c r="J24" s="72">
        <f>1165.4+743.9</f>
        <v>1909.3000000000002</v>
      </c>
      <c r="K24" s="67"/>
      <c r="L24" s="67">
        <f>679.4+7774.7</f>
        <v>8454.1</v>
      </c>
      <c r="M24" s="72">
        <v>2133.2</v>
      </c>
      <c r="N24" s="67">
        <f>898.2+803.2</f>
        <v>1701.4</v>
      </c>
      <c r="O24" s="71">
        <v>71.5</v>
      </c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17656.300000000003</v>
      </c>
      <c r="AG24" s="72">
        <f t="shared" si="3"/>
        <v>37043.600000000006</v>
      </c>
      <c r="AI24" s="6"/>
    </row>
    <row r="25" spans="1:35" s="53" customFormat="1" ht="15" customHeight="1">
      <c r="A25" s="51" t="s">
        <v>39</v>
      </c>
      <c r="B25" s="52">
        <v>17138</v>
      </c>
      <c r="C25" s="52">
        <v>0</v>
      </c>
      <c r="D25" s="75"/>
      <c r="E25" s="75">
        <v>0.7</v>
      </c>
      <c r="F25" s="75"/>
      <c r="G25" s="75"/>
      <c r="H25" s="75"/>
      <c r="I25" s="75"/>
      <c r="J25" s="76">
        <v>743.9</v>
      </c>
      <c r="K25" s="75"/>
      <c r="L25" s="75">
        <v>7774.7</v>
      </c>
      <c r="M25" s="76">
        <v>2133.2</v>
      </c>
      <c r="N25" s="75">
        <v>803.2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11455.7</v>
      </c>
      <c r="AG25" s="88">
        <f t="shared" si="3"/>
        <v>5682.299999999999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90.9</v>
      </c>
      <c r="C30" s="22">
        <v>181.7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272.6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42944.6</v>
      </c>
      <c r="C32" s="22">
        <v>11482.700000000008</v>
      </c>
      <c r="D32" s="67">
        <f aca="true" t="shared" si="5" ref="D32:AD32">D24-D26-D27-D28-D29-D30-D31</f>
        <v>0</v>
      </c>
      <c r="E32" s="67">
        <f t="shared" si="5"/>
        <v>112.7</v>
      </c>
      <c r="F32" s="67">
        <f t="shared" si="5"/>
        <v>344.2</v>
      </c>
      <c r="G32" s="67">
        <f t="shared" si="5"/>
        <v>0</v>
      </c>
      <c r="H32" s="67">
        <f t="shared" si="5"/>
        <v>2929.9</v>
      </c>
      <c r="I32" s="67">
        <f t="shared" si="5"/>
        <v>0</v>
      </c>
      <c r="J32" s="67">
        <f t="shared" si="5"/>
        <v>1909.3000000000002</v>
      </c>
      <c r="K32" s="67">
        <f t="shared" si="5"/>
        <v>0</v>
      </c>
      <c r="L32" s="67">
        <f t="shared" si="5"/>
        <v>8454.1</v>
      </c>
      <c r="M32" s="72">
        <f t="shared" si="5"/>
        <v>2133.2</v>
      </c>
      <c r="N32" s="67">
        <f t="shared" si="5"/>
        <v>1701.4</v>
      </c>
      <c r="O32" s="67">
        <f t="shared" si="5"/>
        <v>71.5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17656.300000000003</v>
      </c>
      <c r="AG32" s="72">
        <f>AG24-AG30</f>
        <v>36771.00000000001</v>
      </c>
      <c r="AI32" s="6"/>
    </row>
    <row r="33" spans="1:35" ht="15" customHeight="1">
      <c r="A33" s="4" t="s">
        <v>8</v>
      </c>
      <c r="B33" s="22">
        <v>438.5</v>
      </c>
      <c r="C33" s="22">
        <v>153.20000000000016</v>
      </c>
      <c r="D33" s="67"/>
      <c r="E33" s="67"/>
      <c r="F33" s="67"/>
      <c r="G33" s="67"/>
      <c r="H33" s="67"/>
      <c r="I33" s="67"/>
      <c r="J33" s="72">
        <v>30.8</v>
      </c>
      <c r="K33" s="67"/>
      <c r="L33" s="67">
        <v>60.6</v>
      </c>
      <c r="M33" s="72">
        <v>59.8</v>
      </c>
      <c r="N33" s="67">
        <v>0.5</v>
      </c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151.7</v>
      </c>
      <c r="AG33" s="72">
        <f aca="true" t="shared" si="6" ref="AG33:AG38">B33+C33-AF33</f>
        <v>440.00000000000017</v>
      </c>
      <c r="AI33" s="6"/>
    </row>
    <row r="34" spans="1:35" ht="15.75">
      <c r="A34" s="3" t="s">
        <v>5</v>
      </c>
      <c r="B34" s="22">
        <v>298</v>
      </c>
      <c r="C34" s="22">
        <v>24.69999999999999</v>
      </c>
      <c r="D34" s="67"/>
      <c r="E34" s="67"/>
      <c r="F34" s="67"/>
      <c r="G34" s="67"/>
      <c r="H34" s="67"/>
      <c r="I34" s="67"/>
      <c r="J34" s="72"/>
      <c r="K34" s="67"/>
      <c r="L34" s="67">
        <v>54.2</v>
      </c>
      <c r="M34" s="72">
        <v>59.8</v>
      </c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114</v>
      </c>
      <c r="AG34" s="72">
        <f t="shared" si="6"/>
        <v>208.7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48</v>
      </c>
      <c r="C36" s="22">
        <v>78.2</v>
      </c>
      <c r="D36" s="67"/>
      <c r="E36" s="67"/>
      <c r="F36" s="67"/>
      <c r="G36" s="67"/>
      <c r="H36" s="67"/>
      <c r="I36" s="67"/>
      <c r="J36" s="72">
        <v>30.8</v>
      </c>
      <c r="K36" s="67"/>
      <c r="L36" s="67"/>
      <c r="M36" s="72"/>
      <c r="N36" s="67">
        <v>0.2</v>
      </c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31</v>
      </c>
      <c r="AG36" s="72">
        <f t="shared" si="6"/>
        <v>95.2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92.5</v>
      </c>
      <c r="C39" s="22">
        <v>50.30000000000017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6.399999999999999</v>
      </c>
      <c r="M39" s="72">
        <f t="shared" si="7"/>
        <v>0</v>
      </c>
      <c r="N39" s="67">
        <f t="shared" si="7"/>
        <v>0.3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6.699999999999998</v>
      </c>
      <c r="AG39" s="72">
        <f>AG33-AG34-AG36-AG38-AG35-AG37</f>
        <v>136.1000000000002</v>
      </c>
      <c r="AI39" s="6"/>
    </row>
    <row r="40" spans="1:35" ht="15" customHeight="1">
      <c r="A40" s="4" t="s">
        <v>29</v>
      </c>
      <c r="B40" s="22">
        <v>1509.7</v>
      </c>
      <c r="C40" s="22">
        <v>205.00000000000023</v>
      </c>
      <c r="D40" s="67"/>
      <c r="E40" s="67"/>
      <c r="F40" s="67"/>
      <c r="G40" s="67"/>
      <c r="H40" s="67">
        <v>61.3</v>
      </c>
      <c r="I40" s="67"/>
      <c r="J40" s="72">
        <v>2.9</v>
      </c>
      <c r="K40" s="67"/>
      <c r="L40" s="67">
        <v>439.8</v>
      </c>
      <c r="M40" s="72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504</v>
      </c>
      <c r="AG40" s="72">
        <f aca="true" t="shared" si="8" ref="AG40:AG45">B40+C40-AF40</f>
        <v>1210.7000000000003</v>
      </c>
      <c r="AI40" s="6"/>
    </row>
    <row r="41" spans="1:35" ht="15.75">
      <c r="A41" s="3" t="s">
        <v>5</v>
      </c>
      <c r="B41" s="22">
        <v>1296.4</v>
      </c>
      <c r="C41" s="22">
        <v>101.19999999999982</v>
      </c>
      <c r="D41" s="67"/>
      <c r="E41" s="67"/>
      <c r="F41" s="67"/>
      <c r="G41" s="67"/>
      <c r="H41" s="67"/>
      <c r="I41" s="67"/>
      <c r="J41" s="72"/>
      <c r="K41" s="67"/>
      <c r="L41" s="67">
        <v>425</v>
      </c>
      <c r="M41" s="72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425</v>
      </c>
      <c r="AG41" s="72">
        <f t="shared" si="8"/>
        <v>972.5999999999999</v>
      </c>
      <c r="AH41" s="6"/>
      <c r="AI41" s="6"/>
    </row>
    <row r="42" spans="1:35" ht="15.75">
      <c r="A42" s="3" t="s">
        <v>3</v>
      </c>
      <c r="B42" s="22"/>
      <c r="C42" s="22">
        <v>0.9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0.9</v>
      </c>
      <c r="AI42" s="6"/>
    </row>
    <row r="43" spans="1:35" ht="15.75">
      <c r="A43" s="3" t="s">
        <v>1</v>
      </c>
      <c r="B43" s="22">
        <v>10.3</v>
      </c>
      <c r="C43" s="22">
        <v>2.3000000000000007</v>
      </c>
      <c r="D43" s="67"/>
      <c r="E43" s="67"/>
      <c r="F43" s="67"/>
      <c r="G43" s="67"/>
      <c r="H43" s="67">
        <v>10.2</v>
      </c>
      <c r="I43" s="67"/>
      <c r="J43" s="72"/>
      <c r="K43" s="67"/>
      <c r="L43" s="67"/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10.2</v>
      </c>
      <c r="AG43" s="72">
        <f t="shared" si="8"/>
        <v>2.400000000000002</v>
      </c>
      <c r="AI43" s="6"/>
    </row>
    <row r="44" spans="1:35" ht="15.75">
      <c r="A44" s="3" t="s">
        <v>2</v>
      </c>
      <c r="B44" s="22">
        <v>168.6</v>
      </c>
      <c r="C44" s="22">
        <v>92.10000000000005</v>
      </c>
      <c r="D44" s="67"/>
      <c r="E44" s="67"/>
      <c r="F44" s="67"/>
      <c r="G44" s="67"/>
      <c r="H44" s="67">
        <v>37.7</v>
      </c>
      <c r="I44" s="67"/>
      <c r="J44" s="72"/>
      <c r="K44" s="67"/>
      <c r="L44" s="67"/>
      <c r="M44" s="72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37.7</v>
      </c>
      <c r="AG44" s="72">
        <f t="shared" si="8"/>
        <v>223.00000000000006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34.39999999999995</v>
      </c>
      <c r="C46" s="22">
        <v>8.500000000000355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13.399999999999991</v>
      </c>
      <c r="I46" s="67">
        <f t="shared" si="9"/>
        <v>0</v>
      </c>
      <c r="J46" s="67">
        <f t="shared" si="9"/>
        <v>2.9</v>
      </c>
      <c r="K46" s="67">
        <f t="shared" si="9"/>
        <v>0</v>
      </c>
      <c r="L46" s="67">
        <f t="shared" si="9"/>
        <v>14.800000000000011</v>
      </c>
      <c r="M46" s="72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31.1</v>
      </c>
      <c r="AG46" s="72">
        <f>AG40-AG41-AG42-AG43-AG44-AG45</f>
        <v>11.800000000000296</v>
      </c>
      <c r="AI46" s="6"/>
    </row>
    <row r="47" spans="1:35" ht="17.25" customHeight="1">
      <c r="A47" s="4" t="s">
        <v>43</v>
      </c>
      <c r="B47" s="29">
        <f>6591+15.1-20+7.6</f>
        <v>6593.700000000001</v>
      </c>
      <c r="C47" s="22">
        <v>2862.6000000000004</v>
      </c>
      <c r="D47" s="67"/>
      <c r="E47" s="79"/>
      <c r="F47" s="79">
        <v>244.7</v>
      </c>
      <c r="G47" s="79">
        <v>2133</v>
      </c>
      <c r="H47" s="79"/>
      <c r="I47" s="79"/>
      <c r="J47" s="80">
        <v>95.9</v>
      </c>
      <c r="K47" s="79">
        <v>222.1</v>
      </c>
      <c r="L47" s="79"/>
      <c r="M47" s="80"/>
      <c r="N47" s="79">
        <v>227.2</v>
      </c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2922.8999999999996</v>
      </c>
      <c r="AG47" s="72">
        <f>B47+C47-AF47</f>
        <v>6533.4000000000015</v>
      </c>
      <c r="AI47" s="6"/>
    </row>
    <row r="48" spans="1:35" ht="15.75">
      <c r="A48" s="3" t="s">
        <v>5</v>
      </c>
      <c r="B48" s="22">
        <v>54.4</v>
      </c>
      <c r="C48" s="22">
        <v>54.4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108.8</v>
      </c>
      <c r="AI48" s="6"/>
    </row>
    <row r="49" spans="1:35" ht="15.75">
      <c r="A49" s="3" t="s">
        <v>16</v>
      </c>
      <c r="B49" s="22">
        <f>5882+15.1-20+7.6</f>
        <v>5884.700000000001</v>
      </c>
      <c r="C49" s="22">
        <v>1470.6000000000004</v>
      </c>
      <c r="D49" s="67"/>
      <c r="E49" s="67"/>
      <c r="F49" s="67">
        <v>244.7</v>
      </c>
      <c r="G49" s="67">
        <v>2133</v>
      </c>
      <c r="H49" s="67"/>
      <c r="I49" s="67"/>
      <c r="J49" s="72">
        <v>95.9</v>
      </c>
      <c r="K49" s="67">
        <v>222</v>
      </c>
      <c r="L49" s="67"/>
      <c r="M49" s="72"/>
      <c r="N49" s="67">
        <f>164.6+40.2</f>
        <v>204.8</v>
      </c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2900.4</v>
      </c>
      <c r="AG49" s="72">
        <f>B49+C49-AF49</f>
        <v>4454.9000000000015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654.6000000000004</v>
      </c>
      <c r="C51" s="22">
        <v>1337.6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0.09999999999999432</v>
      </c>
      <c r="L51" s="67">
        <f t="shared" si="10"/>
        <v>0</v>
      </c>
      <c r="M51" s="72">
        <f t="shared" si="10"/>
        <v>0</v>
      </c>
      <c r="N51" s="67">
        <f t="shared" si="10"/>
        <v>22.399999999999977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22.49999999999997</v>
      </c>
      <c r="AG51" s="72">
        <f>AG47-AG49-AG48</f>
        <v>1969.7</v>
      </c>
      <c r="AI51" s="6"/>
    </row>
    <row r="52" spans="1:35" ht="15" customHeight="1">
      <c r="A52" s="4" t="s">
        <v>0</v>
      </c>
      <c r="B52" s="22">
        <f>14853.4-85.6+44.8-3000</f>
        <v>11812.599999999999</v>
      </c>
      <c r="C52" s="22">
        <v>11149.999999999996</v>
      </c>
      <c r="D52" s="67"/>
      <c r="E52" s="67">
        <v>3.5</v>
      </c>
      <c r="F52" s="67">
        <v>157.9</v>
      </c>
      <c r="G52" s="67">
        <v>215.4</v>
      </c>
      <c r="H52" s="67">
        <v>10546.5</v>
      </c>
      <c r="I52" s="67"/>
      <c r="J52" s="72">
        <v>1149.5</v>
      </c>
      <c r="K52" s="67">
        <v>25.1</v>
      </c>
      <c r="L52" s="67"/>
      <c r="M52" s="72">
        <v>98.2</v>
      </c>
      <c r="N52" s="67">
        <v>543.6</v>
      </c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12739.7</v>
      </c>
      <c r="AG52" s="72">
        <f aca="true" t="shared" si="11" ref="AG52:AG59">B52+C52-AF52</f>
        <v>10222.899999999994</v>
      </c>
      <c r="AI52" s="6"/>
    </row>
    <row r="53" spans="1:35" ht="15" customHeight="1">
      <c r="A53" s="3" t="s">
        <v>2</v>
      </c>
      <c r="B53" s="22">
        <f>2612.5-1000</f>
        <v>1612.5</v>
      </c>
      <c r="C53" s="22">
        <v>903.3999999999996</v>
      </c>
      <c r="D53" s="67"/>
      <c r="E53" s="67"/>
      <c r="F53" s="67"/>
      <c r="G53" s="67"/>
      <c r="H53" s="67">
        <v>0.7</v>
      </c>
      <c r="I53" s="67"/>
      <c r="J53" s="72">
        <v>1149.5</v>
      </c>
      <c r="K53" s="67"/>
      <c r="L53" s="67"/>
      <c r="M53" s="72"/>
      <c r="N53" s="67">
        <v>2.1</v>
      </c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1152.3</v>
      </c>
      <c r="AG53" s="72">
        <f t="shared" si="11"/>
        <v>1363.5999999999997</v>
      </c>
      <c r="AI53" s="6"/>
    </row>
    <row r="54" spans="1:35" ht="15" customHeight="1">
      <c r="A54" s="4" t="s">
        <v>9</v>
      </c>
      <c r="B54" s="36">
        <f>2393.5-20</f>
        <v>2373.5</v>
      </c>
      <c r="C54" s="22">
        <v>843.7999999999993</v>
      </c>
      <c r="D54" s="67"/>
      <c r="E54" s="67"/>
      <c r="F54" s="67"/>
      <c r="G54" s="67">
        <v>185.8</v>
      </c>
      <c r="H54" s="67">
        <v>10</v>
      </c>
      <c r="I54" s="67"/>
      <c r="J54" s="72">
        <v>194.2</v>
      </c>
      <c r="K54" s="67"/>
      <c r="L54" s="67">
        <v>438.5</v>
      </c>
      <c r="M54" s="72">
        <v>103.2</v>
      </c>
      <c r="N54" s="67">
        <v>2.9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934.6</v>
      </c>
      <c r="AG54" s="72">
        <f t="shared" si="11"/>
        <v>2282.6999999999994</v>
      </c>
      <c r="AH54" s="6"/>
      <c r="AI54" s="6"/>
    </row>
    <row r="55" spans="1:35" ht="15.75">
      <c r="A55" s="3" t="s">
        <v>5</v>
      </c>
      <c r="B55" s="22">
        <v>1199.2</v>
      </c>
      <c r="C55" s="22">
        <v>230.39999999999986</v>
      </c>
      <c r="D55" s="67"/>
      <c r="E55" s="67"/>
      <c r="F55" s="67"/>
      <c r="G55" s="67"/>
      <c r="H55" s="67"/>
      <c r="I55" s="67"/>
      <c r="J55" s="72"/>
      <c r="K55" s="67"/>
      <c r="L55" s="67">
        <v>384.9</v>
      </c>
      <c r="M55" s="72">
        <v>103.2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488.09999999999997</v>
      </c>
      <c r="AG55" s="72">
        <f t="shared" si="11"/>
        <v>941.5</v>
      </c>
      <c r="AH55" s="6"/>
      <c r="AI55" s="6"/>
    </row>
    <row r="56" spans="1:35" ht="15" customHeight="1">
      <c r="A56" s="3" t="s">
        <v>1</v>
      </c>
      <c r="B56" s="22">
        <v>3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3</v>
      </c>
      <c r="AH56" s="6"/>
      <c r="AI56" s="6"/>
    </row>
    <row r="57" spans="1:35" ht="15.75">
      <c r="A57" s="3" t="s">
        <v>2</v>
      </c>
      <c r="B57" s="29">
        <v>265.2</v>
      </c>
      <c r="C57" s="22">
        <v>406.1</v>
      </c>
      <c r="D57" s="67"/>
      <c r="E57" s="67"/>
      <c r="F57" s="67"/>
      <c r="G57" s="67"/>
      <c r="H57" s="67"/>
      <c r="I57" s="67"/>
      <c r="J57" s="72">
        <v>6.6</v>
      </c>
      <c r="K57" s="67"/>
      <c r="L57" s="67">
        <v>52.2</v>
      </c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58.800000000000004</v>
      </c>
      <c r="AG57" s="72">
        <f t="shared" si="11"/>
        <v>612.5</v>
      </c>
      <c r="AI57" s="6"/>
    </row>
    <row r="58" spans="1:35" ht="15.75">
      <c r="A58" s="3" t="s">
        <v>16</v>
      </c>
      <c r="B58" s="29">
        <v>17</v>
      </c>
      <c r="C58" s="22">
        <v>8.699999999999996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25.699999999999996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889.0999999999999</v>
      </c>
      <c r="C60" s="22">
        <v>198.5999999999994</v>
      </c>
      <c r="D60" s="67">
        <f t="shared" si="12"/>
        <v>0</v>
      </c>
      <c r="E60" s="67">
        <f t="shared" si="12"/>
        <v>0</v>
      </c>
      <c r="F60" s="67">
        <f t="shared" si="12"/>
        <v>0</v>
      </c>
      <c r="G60" s="67">
        <f t="shared" si="12"/>
        <v>185.8</v>
      </c>
      <c r="H60" s="67">
        <f t="shared" si="12"/>
        <v>10</v>
      </c>
      <c r="I60" s="67">
        <f t="shared" si="12"/>
        <v>0</v>
      </c>
      <c r="J60" s="67">
        <f t="shared" si="12"/>
        <v>187.6</v>
      </c>
      <c r="K60" s="67">
        <f t="shared" si="12"/>
        <v>0</v>
      </c>
      <c r="L60" s="67">
        <f t="shared" si="12"/>
        <v>1.40000000000002</v>
      </c>
      <c r="M60" s="72">
        <f t="shared" si="12"/>
        <v>0</v>
      </c>
      <c r="N60" s="67">
        <f t="shared" si="12"/>
        <v>2.9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387.70000000000005</v>
      </c>
      <c r="AG60" s="72">
        <f>AG54-AG55-AG57-AG59-AG56-AG58</f>
        <v>699.9999999999993</v>
      </c>
      <c r="AI60" s="6"/>
    </row>
    <row r="61" spans="1:35" ht="15" customHeight="1">
      <c r="A61" s="4" t="s">
        <v>10</v>
      </c>
      <c r="B61" s="22">
        <v>92</v>
      </c>
      <c r="C61" s="22">
        <v>37.099999999999994</v>
      </c>
      <c r="D61" s="67"/>
      <c r="E61" s="67"/>
      <c r="F61" s="67"/>
      <c r="G61" s="67"/>
      <c r="H61" s="67"/>
      <c r="I61" s="67"/>
      <c r="J61" s="72"/>
      <c r="K61" s="67"/>
      <c r="L61" s="67"/>
      <c r="M61" s="72"/>
      <c r="N61" s="67">
        <v>21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21</v>
      </c>
      <c r="AG61" s="72">
        <f aca="true" t="shared" si="14" ref="AG61:AG67">B61+C61-AF61</f>
        <v>108.1</v>
      </c>
      <c r="AI61" s="6"/>
    </row>
    <row r="62" spans="1:35" ht="15" customHeight="1">
      <c r="A62" s="4" t="s">
        <v>11</v>
      </c>
      <c r="B62" s="22">
        <f>5806.6-33</f>
        <v>5773.6</v>
      </c>
      <c r="C62" s="22">
        <v>3509</v>
      </c>
      <c r="D62" s="67"/>
      <c r="E62" s="67"/>
      <c r="F62" s="67">
        <v>98.2</v>
      </c>
      <c r="G62" s="67"/>
      <c r="H62" s="67"/>
      <c r="I62" s="67"/>
      <c r="J62" s="72">
        <v>182.6</v>
      </c>
      <c r="K62" s="67">
        <v>0.5</v>
      </c>
      <c r="L62" s="67">
        <v>835.2</v>
      </c>
      <c r="M62" s="72">
        <v>180.6</v>
      </c>
      <c r="N62" s="67">
        <v>94</v>
      </c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1391.1</v>
      </c>
      <c r="AG62" s="72">
        <f t="shared" si="14"/>
        <v>7891.5</v>
      </c>
      <c r="AI62" s="6"/>
    </row>
    <row r="63" spans="1:35" ht="15.75">
      <c r="A63" s="3" t="s">
        <v>5</v>
      </c>
      <c r="B63" s="22">
        <v>2436.6</v>
      </c>
      <c r="C63" s="22">
        <v>704.3000000000002</v>
      </c>
      <c r="D63" s="67"/>
      <c r="E63" s="67"/>
      <c r="F63" s="67"/>
      <c r="G63" s="67"/>
      <c r="H63" s="67"/>
      <c r="I63" s="67"/>
      <c r="J63" s="72"/>
      <c r="K63" s="67"/>
      <c r="L63" s="67">
        <v>835.2</v>
      </c>
      <c r="M63" s="72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835.2</v>
      </c>
      <c r="AG63" s="72">
        <f t="shared" si="14"/>
        <v>2305.7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539.2</v>
      </c>
      <c r="C65" s="22">
        <v>496.9000000000001</v>
      </c>
      <c r="D65" s="67"/>
      <c r="E65" s="67"/>
      <c r="F65" s="67"/>
      <c r="G65" s="67"/>
      <c r="H65" s="67"/>
      <c r="I65" s="67"/>
      <c r="J65" s="72">
        <v>105</v>
      </c>
      <c r="K65" s="67"/>
      <c r="L65" s="67"/>
      <c r="M65" s="72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105</v>
      </c>
      <c r="AG65" s="72">
        <f t="shared" si="14"/>
        <v>931.1000000000001</v>
      </c>
      <c r="AH65" s="6"/>
      <c r="AI65" s="6"/>
    </row>
    <row r="66" spans="1:35" ht="15.75">
      <c r="A66" s="3" t="s">
        <v>2</v>
      </c>
      <c r="B66" s="22">
        <v>149.3</v>
      </c>
      <c r="C66" s="22">
        <v>114.80000000000007</v>
      </c>
      <c r="D66" s="67"/>
      <c r="E66" s="67"/>
      <c r="F66" s="67"/>
      <c r="G66" s="67"/>
      <c r="H66" s="67"/>
      <c r="I66" s="67"/>
      <c r="J66" s="72">
        <v>8.8</v>
      </c>
      <c r="K66" s="67">
        <v>0.5</v>
      </c>
      <c r="L66" s="67"/>
      <c r="M66" s="72"/>
      <c r="N66" s="67">
        <v>18.5</v>
      </c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27.8</v>
      </c>
      <c r="AG66" s="72">
        <f t="shared" si="14"/>
        <v>236.30000000000007</v>
      </c>
      <c r="AI66" s="6"/>
    </row>
    <row r="67" spans="1:35" ht="15.75">
      <c r="A67" s="3" t="s">
        <v>16</v>
      </c>
      <c r="B67" s="22">
        <v>550</v>
      </c>
      <c r="C67" s="22">
        <v>437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987</v>
      </c>
      <c r="AI67" s="6"/>
    </row>
    <row r="68" spans="1:35" ht="15.75">
      <c r="A68" s="3" t="s">
        <v>23</v>
      </c>
      <c r="B68" s="22">
        <f aca="true" t="shared" si="15" ref="B68:AD68">B62-B63-B66-B67-B65-B64</f>
        <v>2098.5</v>
      </c>
      <c r="C68" s="22">
        <v>1755.9999999999995</v>
      </c>
      <c r="D68" s="67">
        <f t="shared" si="15"/>
        <v>0</v>
      </c>
      <c r="E68" s="67">
        <f t="shared" si="15"/>
        <v>0</v>
      </c>
      <c r="F68" s="67">
        <f t="shared" si="15"/>
        <v>98.2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68.79999999999998</v>
      </c>
      <c r="K68" s="67">
        <f t="shared" si="15"/>
        <v>0</v>
      </c>
      <c r="L68" s="67">
        <f t="shared" si="15"/>
        <v>0</v>
      </c>
      <c r="M68" s="72">
        <f t="shared" si="15"/>
        <v>180.6</v>
      </c>
      <c r="N68" s="67">
        <f t="shared" si="15"/>
        <v>75.5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423.1</v>
      </c>
      <c r="AG68" s="72">
        <f>AG62-AG63-AG66-AG67-AG65-AG64</f>
        <v>3431.3999999999996</v>
      </c>
      <c r="AI68" s="6"/>
    </row>
    <row r="69" spans="1:35" ht="31.5">
      <c r="A69" s="4" t="s">
        <v>45</v>
      </c>
      <c r="B69" s="22">
        <v>2336.1</v>
      </c>
      <c r="C69" s="22">
        <v>337.10000000000014</v>
      </c>
      <c r="D69" s="67"/>
      <c r="E69" s="67"/>
      <c r="F69" s="67"/>
      <c r="G69" s="67">
        <v>994.8</v>
      </c>
      <c r="H69" s="67"/>
      <c r="I69" s="67"/>
      <c r="J69" s="72"/>
      <c r="K69" s="67"/>
      <c r="L69" s="67"/>
      <c r="M69" s="72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994.8</v>
      </c>
      <c r="AG69" s="89">
        <f aca="true" t="shared" si="16" ref="AG69:AG92">B69+C69-AF69</f>
        <v>1678.3999999999999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f>85.6+2125</f>
        <v>2210.6</v>
      </c>
      <c r="C71" s="24">
        <v>1321.8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3532.3999999999996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1918.5-22.7-7.6</f>
        <v>1888.2</v>
      </c>
      <c r="C72" s="22">
        <v>1333.6</v>
      </c>
      <c r="D72" s="67"/>
      <c r="E72" s="67">
        <v>209.6</v>
      </c>
      <c r="F72" s="67">
        <v>97</v>
      </c>
      <c r="G72" s="67">
        <v>18.7</v>
      </c>
      <c r="H72" s="67"/>
      <c r="I72" s="67"/>
      <c r="J72" s="72">
        <v>14.1</v>
      </c>
      <c r="K72" s="67">
        <v>18.1</v>
      </c>
      <c r="L72" s="67">
        <v>187.2</v>
      </c>
      <c r="M72" s="72">
        <v>14.7</v>
      </c>
      <c r="N72" s="67">
        <v>217.2</v>
      </c>
      <c r="O72" s="67">
        <v>174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950.6000000000001</v>
      </c>
      <c r="AG72" s="89">
        <f t="shared" si="16"/>
        <v>2271.2</v>
      </c>
      <c r="AI72" s="6"/>
    </row>
    <row r="73" spans="1:35" ht="15" customHeight="1">
      <c r="A73" s="3" t="s">
        <v>5</v>
      </c>
      <c r="B73" s="22">
        <v>80.5</v>
      </c>
      <c r="C73" s="22">
        <v>0.09999999999999432</v>
      </c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89">
        <f t="shared" si="16"/>
        <v>80.6</v>
      </c>
      <c r="AI73" s="6"/>
    </row>
    <row r="74" spans="1:35" ht="15" customHeight="1">
      <c r="A74" s="3" t="s">
        <v>2</v>
      </c>
      <c r="B74" s="22">
        <f>41+308.4+0.1</f>
        <v>349.5</v>
      </c>
      <c r="C74" s="22">
        <v>332.5999999999999</v>
      </c>
      <c r="D74" s="67"/>
      <c r="E74" s="67">
        <v>6.2</v>
      </c>
      <c r="F74" s="67">
        <v>38.5</v>
      </c>
      <c r="G74" s="67"/>
      <c r="H74" s="67"/>
      <c r="I74" s="67"/>
      <c r="J74" s="72"/>
      <c r="K74" s="67"/>
      <c r="L74" s="67">
        <f>59+95</f>
        <v>154</v>
      </c>
      <c r="M74" s="72">
        <v>14.7</v>
      </c>
      <c r="N74" s="67">
        <v>0.7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214.09999999999997</v>
      </c>
      <c r="AG74" s="89">
        <f t="shared" si="16"/>
        <v>467.99999999999994</v>
      </c>
      <c r="AI74" s="6"/>
    </row>
    <row r="75" spans="1:35" ht="15" customHeight="1">
      <c r="A75" s="3" t="s">
        <v>16</v>
      </c>
      <c r="B75" s="22">
        <f>11.6+10</f>
        <v>21.6</v>
      </c>
      <c r="C75" s="22">
        <v>17.8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9">
        <f t="shared" si="16"/>
        <v>39.400000000000006</v>
      </c>
      <c r="AI75" s="6"/>
    </row>
    <row r="76" spans="1:35" s="11" customFormat="1" ht="15.75">
      <c r="A76" s="12" t="s">
        <v>48</v>
      </c>
      <c r="B76" s="22">
        <f>185.5</f>
        <v>185.5</v>
      </c>
      <c r="C76" s="22">
        <v>30.599999999999994</v>
      </c>
      <c r="D76" s="67"/>
      <c r="E76" s="79"/>
      <c r="F76" s="79"/>
      <c r="G76" s="79">
        <v>13.9</v>
      </c>
      <c r="H76" s="79"/>
      <c r="I76" s="79"/>
      <c r="J76" s="80"/>
      <c r="K76" s="79"/>
      <c r="L76" s="79"/>
      <c r="M76" s="80">
        <v>60.1</v>
      </c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74</v>
      </c>
      <c r="AG76" s="89">
        <f t="shared" si="16"/>
        <v>142.1</v>
      </c>
      <c r="AI76" s="6"/>
    </row>
    <row r="77" spans="1:35" s="11" customFormat="1" ht="15.75">
      <c r="A77" s="3" t="s">
        <v>5</v>
      </c>
      <c r="B77" s="22">
        <v>132.5</v>
      </c>
      <c r="C77" s="22">
        <v>3.8000000000000114</v>
      </c>
      <c r="D77" s="67"/>
      <c r="E77" s="79"/>
      <c r="F77" s="79"/>
      <c r="G77" s="79">
        <v>5.6</v>
      </c>
      <c r="H77" s="79"/>
      <c r="I77" s="79"/>
      <c r="J77" s="80"/>
      <c r="K77" s="79"/>
      <c r="L77" s="79"/>
      <c r="M77" s="80">
        <v>57.6</v>
      </c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63.2</v>
      </c>
      <c r="AG77" s="89">
        <f t="shared" si="16"/>
        <v>73.10000000000001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2.1</v>
      </c>
      <c r="C80" s="22">
        <v>8.500000000000002</v>
      </c>
      <c r="D80" s="67"/>
      <c r="E80" s="79"/>
      <c r="F80" s="79"/>
      <c r="G80" s="79">
        <v>6</v>
      </c>
      <c r="H80" s="79"/>
      <c r="I80" s="79"/>
      <c r="J80" s="80"/>
      <c r="K80" s="79"/>
      <c r="L80" s="79"/>
      <c r="M80" s="80">
        <v>0.1</v>
      </c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6.1</v>
      </c>
      <c r="AG80" s="89">
        <f t="shared" si="16"/>
        <v>4.500000000000002</v>
      </c>
      <c r="AI80" s="6"/>
    </row>
    <row r="81" spans="1:35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>
      <c r="A88" s="4" t="s">
        <v>58</v>
      </c>
      <c r="B88" s="22">
        <v>563</v>
      </c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563</v>
      </c>
      <c r="AH88" s="11"/>
      <c r="AI88" s="6"/>
    </row>
    <row r="89" spans="1:35" ht="15.75">
      <c r="A89" s="4" t="s">
        <v>50</v>
      </c>
      <c r="B89" s="22">
        <f>17339.2+3000</f>
        <v>20339.2</v>
      </c>
      <c r="C89" s="22">
        <v>2162.000000000001</v>
      </c>
      <c r="D89" s="67"/>
      <c r="E89" s="67">
        <v>60.3</v>
      </c>
      <c r="F89" s="67"/>
      <c r="G89" s="67">
        <v>794.6</v>
      </c>
      <c r="H89" s="67">
        <v>1729.3</v>
      </c>
      <c r="I89" s="67"/>
      <c r="J89" s="67"/>
      <c r="K89" s="67">
        <v>2357</v>
      </c>
      <c r="L89" s="67">
        <v>1916.4</v>
      </c>
      <c r="M89" s="72">
        <v>610.8</v>
      </c>
      <c r="N89" s="67">
        <v>432.8</v>
      </c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7901.200000000001</v>
      </c>
      <c r="AG89" s="72">
        <f t="shared" si="16"/>
        <v>14600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/>
      <c r="J90" s="67"/>
      <c r="K90" s="67"/>
      <c r="L90" s="67">
        <v>1886.8</v>
      </c>
      <c r="M90" s="72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72">
        <f t="shared" si="16"/>
        <v>3773.5999999999995</v>
      </c>
      <c r="AH90" s="11"/>
      <c r="AI90" s="6"/>
    </row>
    <row r="91" spans="1:35" ht="15.75">
      <c r="A91" s="4" t="s">
        <v>25</v>
      </c>
      <c r="B91" s="22">
        <f>833.3-3233.3</f>
        <v>-2400</v>
      </c>
      <c r="C91" s="22">
        <v>2500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100</v>
      </c>
      <c r="AH91" s="11"/>
      <c r="AI91" s="6"/>
    </row>
    <row r="92" spans="1:34" ht="15.75">
      <c r="A92" s="4" t="s">
        <v>37</v>
      </c>
      <c r="B92" s="22">
        <f>-1649+253+3208.6</f>
        <v>1812.6</v>
      </c>
      <c r="C92" s="22">
        <v>4942.299999999996</v>
      </c>
      <c r="D92" s="67">
        <v>3293.3</v>
      </c>
      <c r="E92" s="67"/>
      <c r="F92" s="67"/>
      <c r="G92" s="67"/>
      <c r="H92" s="67">
        <v>-2161.9</v>
      </c>
      <c r="I92" s="67"/>
      <c r="J92" s="67">
        <v>2161.9</v>
      </c>
      <c r="K92" s="67"/>
      <c r="L92" s="67"/>
      <c r="M92" s="72"/>
      <c r="N92" s="67"/>
      <c r="O92" s="67">
        <v>253</v>
      </c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3546.3</v>
      </c>
      <c r="AG92" s="72">
        <f t="shared" si="16"/>
        <v>3208.599999999996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201521.0000000001</v>
      </c>
      <c r="C94" s="35">
        <f t="shared" si="17"/>
        <v>76221.70000000001</v>
      </c>
      <c r="D94" s="82">
        <f t="shared" si="17"/>
        <v>3700.3</v>
      </c>
      <c r="E94" s="82">
        <f t="shared" si="17"/>
        <v>1323.8</v>
      </c>
      <c r="F94" s="82">
        <f t="shared" si="17"/>
        <v>1718.3000000000002</v>
      </c>
      <c r="G94" s="82">
        <f t="shared" si="17"/>
        <v>4638.7</v>
      </c>
      <c r="H94" s="82">
        <f t="shared" si="17"/>
        <v>15927.699999999999</v>
      </c>
      <c r="I94" s="82">
        <f t="shared" si="17"/>
        <v>0</v>
      </c>
      <c r="J94" s="82">
        <f t="shared" si="17"/>
        <v>6397.4</v>
      </c>
      <c r="K94" s="82">
        <f t="shared" si="17"/>
        <v>5330.6</v>
      </c>
      <c r="L94" s="82">
        <f t="shared" si="17"/>
        <v>17463.5</v>
      </c>
      <c r="M94" s="91">
        <f t="shared" si="17"/>
        <v>32747.3</v>
      </c>
      <c r="N94" s="82">
        <f t="shared" si="17"/>
        <v>6069.400000000001</v>
      </c>
      <c r="O94" s="82">
        <f t="shared" si="17"/>
        <v>567.3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95884.30000000002</v>
      </c>
      <c r="AG94" s="83">
        <f>AG10+AG15+AG24+AG33+AG47+AG52+AG54+AG61+AG62+AG69+AG71+AG72+AG76+AG81+AG82+AG83+AG88+AG89+AG90+AG91+AG70+AG40+AG92</f>
        <v>181858.40000000005</v>
      </c>
    </row>
    <row r="95" spans="1:33" ht="15.75">
      <c r="A95" s="3" t="s">
        <v>5</v>
      </c>
      <c r="B95" s="22">
        <f aca="true" t="shared" si="18" ref="B95:AD95">B11+B17+B26+B34+B55+B63+B73+B41+B77+B48</f>
        <v>84776.4</v>
      </c>
      <c r="C95" s="22">
        <f t="shared" si="18"/>
        <v>6502.660000000002</v>
      </c>
      <c r="D95" s="67">
        <f t="shared" si="18"/>
        <v>404.9</v>
      </c>
      <c r="E95" s="67">
        <f t="shared" si="18"/>
        <v>300.2</v>
      </c>
      <c r="F95" s="67">
        <f t="shared" si="18"/>
        <v>27.400000000000002</v>
      </c>
      <c r="G95" s="67">
        <f t="shared" si="18"/>
        <v>5.6</v>
      </c>
      <c r="H95" s="67">
        <f t="shared" si="18"/>
        <v>39.9</v>
      </c>
      <c r="I95" s="67">
        <f t="shared" si="18"/>
        <v>0</v>
      </c>
      <c r="J95" s="67">
        <f t="shared" si="18"/>
        <v>8.7</v>
      </c>
      <c r="K95" s="67">
        <f t="shared" si="18"/>
        <v>14.8</v>
      </c>
      <c r="L95" s="67">
        <f t="shared" si="18"/>
        <v>3617.8</v>
      </c>
      <c r="M95" s="72">
        <f t="shared" si="18"/>
        <v>27492.499999999996</v>
      </c>
      <c r="N95" s="67">
        <f t="shared" si="18"/>
        <v>1796.3</v>
      </c>
      <c r="O95" s="67">
        <f t="shared" si="18"/>
        <v>33.2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33741.299999999996</v>
      </c>
      <c r="AG95" s="71">
        <f>B95+C95-AF95</f>
        <v>57537.76</v>
      </c>
    </row>
    <row r="96" spans="1:33" ht="15.75">
      <c r="A96" s="3" t="s">
        <v>2</v>
      </c>
      <c r="B96" s="22">
        <f aca="true" t="shared" si="19" ref="B96:AD96">B12+B20+B29+B36+B57+B66+B44+B80+B74+B53</f>
        <v>9798.5</v>
      </c>
      <c r="C96" s="22">
        <f t="shared" si="19"/>
        <v>21650.699999999997</v>
      </c>
      <c r="D96" s="67">
        <f t="shared" si="19"/>
        <v>0</v>
      </c>
      <c r="E96" s="67">
        <f t="shared" si="19"/>
        <v>71.3</v>
      </c>
      <c r="F96" s="67">
        <f t="shared" si="19"/>
        <v>586.1</v>
      </c>
      <c r="G96" s="67">
        <f t="shared" si="19"/>
        <v>212.2</v>
      </c>
      <c r="H96" s="67">
        <f t="shared" si="19"/>
        <v>1999.9</v>
      </c>
      <c r="I96" s="67">
        <f t="shared" si="19"/>
        <v>0</v>
      </c>
      <c r="J96" s="67">
        <f t="shared" si="19"/>
        <v>1712.6999999999998</v>
      </c>
      <c r="K96" s="67">
        <f t="shared" si="19"/>
        <v>1972.7</v>
      </c>
      <c r="L96" s="67">
        <f t="shared" si="19"/>
        <v>907.4</v>
      </c>
      <c r="M96" s="72">
        <f t="shared" si="19"/>
        <v>1565.1</v>
      </c>
      <c r="N96" s="67">
        <f t="shared" si="19"/>
        <v>156.99999999999997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9184.4</v>
      </c>
      <c r="AG96" s="71">
        <f>B96+C96-AF96</f>
        <v>22264.799999999996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16.7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0.3</v>
      </c>
      <c r="I97" s="67">
        <f t="shared" si="20"/>
        <v>0</v>
      </c>
      <c r="J97" s="67">
        <f t="shared" si="20"/>
        <v>0.4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16</v>
      </c>
    </row>
    <row r="98" spans="1:33" ht="15.75">
      <c r="A98" s="3" t="s">
        <v>1</v>
      </c>
      <c r="B98" s="22">
        <f aca="true" t="shared" si="21" ref="B98:AD98">B19+B28+B65+B35+B43+B56+B79</f>
        <v>5858.9</v>
      </c>
      <c r="C98" s="22">
        <f t="shared" si="21"/>
        <v>2909.1</v>
      </c>
      <c r="D98" s="67">
        <f t="shared" si="21"/>
        <v>0</v>
      </c>
      <c r="E98" s="67">
        <f t="shared" si="21"/>
        <v>363.3</v>
      </c>
      <c r="F98" s="67">
        <f t="shared" si="21"/>
        <v>73.4</v>
      </c>
      <c r="G98" s="67">
        <f t="shared" si="21"/>
        <v>41.9</v>
      </c>
      <c r="H98" s="67">
        <f t="shared" si="21"/>
        <v>413.9</v>
      </c>
      <c r="I98" s="67">
        <f t="shared" si="21"/>
        <v>0</v>
      </c>
      <c r="J98" s="67">
        <f t="shared" si="21"/>
        <v>115.1</v>
      </c>
      <c r="K98" s="67">
        <f t="shared" si="21"/>
        <v>702.9</v>
      </c>
      <c r="L98" s="67">
        <f t="shared" si="21"/>
        <v>518</v>
      </c>
      <c r="M98" s="72">
        <f t="shared" si="21"/>
        <v>32.3</v>
      </c>
      <c r="N98" s="67">
        <f t="shared" si="21"/>
        <v>798.8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3059.6000000000004</v>
      </c>
      <c r="AG98" s="71">
        <f>B98+C98-AF98</f>
        <v>5708.4</v>
      </c>
    </row>
    <row r="99" spans="1:33" ht="15.75">
      <c r="A99" s="3" t="s">
        <v>16</v>
      </c>
      <c r="B99" s="22">
        <f aca="true" t="shared" si="22" ref="B99:X99">B21+B30+B49+B37+B58+B13+B75+B67</f>
        <v>7715.500000000001</v>
      </c>
      <c r="C99" s="22">
        <f t="shared" si="22"/>
        <v>2463.3</v>
      </c>
      <c r="D99" s="67">
        <f t="shared" si="22"/>
        <v>0</v>
      </c>
      <c r="E99" s="67">
        <f t="shared" si="22"/>
        <v>0</v>
      </c>
      <c r="F99" s="67">
        <f t="shared" si="22"/>
        <v>244.7</v>
      </c>
      <c r="G99" s="67">
        <f t="shared" si="22"/>
        <v>2133</v>
      </c>
      <c r="H99" s="67">
        <f t="shared" si="22"/>
        <v>0</v>
      </c>
      <c r="I99" s="67">
        <f t="shared" si="22"/>
        <v>0</v>
      </c>
      <c r="J99" s="67">
        <f t="shared" si="22"/>
        <v>95.9</v>
      </c>
      <c r="K99" s="67">
        <f t="shared" si="22"/>
        <v>222</v>
      </c>
      <c r="L99" s="67">
        <f t="shared" si="22"/>
        <v>0</v>
      </c>
      <c r="M99" s="72">
        <f t="shared" si="22"/>
        <v>194.7</v>
      </c>
      <c r="N99" s="67">
        <f t="shared" si="22"/>
        <v>204.8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3095.1</v>
      </c>
      <c r="AG99" s="71">
        <f>B99+C99-AF99</f>
        <v>7083.700000000001</v>
      </c>
    </row>
    <row r="100" spans="1:33" ht="12.75">
      <c r="A100" s="1" t="s">
        <v>35</v>
      </c>
      <c r="B100" s="2">
        <f aca="true" t="shared" si="24" ref="B100:AD100">B94-B95-B96-B97-B98-B99</f>
        <v>93371.7000000001</v>
      </c>
      <c r="C100" s="2">
        <f t="shared" si="24"/>
        <v>42679.24000000001</v>
      </c>
      <c r="D100" s="84">
        <f t="shared" si="24"/>
        <v>3295.4</v>
      </c>
      <c r="E100" s="84">
        <f t="shared" si="24"/>
        <v>589</v>
      </c>
      <c r="F100" s="84">
        <f t="shared" si="24"/>
        <v>786.7</v>
      </c>
      <c r="G100" s="84">
        <f t="shared" si="24"/>
        <v>2246</v>
      </c>
      <c r="H100" s="84">
        <f t="shared" si="24"/>
        <v>13473.7</v>
      </c>
      <c r="I100" s="84">
        <f t="shared" si="24"/>
        <v>0</v>
      </c>
      <c r="J100" s="84">
        <f t="shared" si="24"/>
        <v>4464.6</v>
      </c>
      <c r="K100" s="84">
        <f t="shared" si="24"/>
        <v>2418.2000000000003</v>
      </c>
      <c r="L100" s="84">
        <f t="shared" si="24"/>
        <v>12420.300000000001</v>
      </c>
      <c r="M100" s="92">
        <f t="shared" si="24"/>
        <v>3462.700000000003</v>
      </c>
      <c r="N100" s="84">
        <f t="shared" si="24"/>
        <v>3112.5</v>
      </c>
      <c r="O100" s="84">
        <f t="shared" si="24"/>
        <v>534.0999999999999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46803.200000000026</v>
      </c>
      <c r="AG100" s="84">
        <f>AG94-AG95-AG96-AG97-AG98-AG99</f>
        <v>89247.74000000006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2019-03-21T14:40:54Z</cp:lastPrinted>
  <dcterms:created xsi:type="dcterms:W3CDTF">2002-11-05T08:53:00Z</dcterms:created>
  <dcterms:modified xsi:type="dcterms:W3CDTF">2019-04-16T05:23:46Z</dcterms:modified>
  <cp:category/>
  <cp:version/>
  <cp:contentType/>
  <cp:contentStatus/>
</cp:coreProperties>
</file>